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0" yWindow="0" windowWidth="25600" windowHeight="15480" tabRatio="577"/>
  </bookViews>
  <sheets>
    <sheet name="Zonnepanelendelen" sheetId="3"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D69" i="3" l="1"/>
  <c r="AC69" i="3"/>
  <c r="AB69" i="3"/>
  <c r="AA69" i="3"/>
  <c r="Z69" i="3"/>
  <c r="Y69" i="3"/>
  <c r="X69" i="3"/>
  <c r="W69" i="3"/>
  <c r="V69" i="3"/>
  <c r="U69" i="3"/>
  <c r="T69" i="3"/>
  <c r="S69" i="3"/>
  <c r="R69" i="3"/>
  <c r="Q69" i="3"/>
  <c r="P69" i="3"/>
  <c r="O69" i="3"/>
  <c r="N69" i="3"/>
  <c r="M69" i="3"/>
  <c r="L69" i="3"/>
  <c r="K69" i="3"/>
  <c r="J69" i="3"/>
  <c r="I69" i="3"/>
  <c r="H69" i="3"/>
  <c r="G69" i="3"/>
  <c r="F69" i="3"/>
  <c r="F7" i="3"/>
  <c r="G4" i="3"/>
  <c r="H4" i="3"/>
  <c r="H7" i="3"/>
  <c r="G7" i="3"/>
  <c r="I4" i="3"/>
  <c r="J4" i="3"/>
  <c r="K4" i="3"/>
  <c r="L4" i="3"/>
  <c r="M4" i="3"/>
  <c r="N4" i="3"/>
  <c r="O4" i="3"/>
  <c r="P4" i="3"/>
  <c r="Q4" i="3"/>
  <c r="R4" i="3"/>
  <c r="S4" i="3"/>
  <c r="T4" i="3"/>
  <c r="U4" i="3"/>
  <c r="V4" i="3"/>
  <c r="W4" i="3"/>
  <c r="X4" i="3"/>
  <c r="Y4" i="3"/>
  <c r="Z4" i="3"/>
  <c r="AA4" i="3"/>
  <c r="AB4" i="3"/>
  <c r="AC4" i="3"/>
  <c r="AD4" i="3"/>
  <c r="AD7" i="3"/>
  <c r="AC7" i="3"/>
  <c r="AB7" i="3"/>
  <c r="AA7" i="3"/>
  <c r="Z7" i="3"/>
  <c r="Y7" i="3"/>
  <c r="X7" i="3"/>
  <c r="W7" i="3"/>
  <c r="V7" i="3"/>
  <c r="U7" i="3"/>
  <c r="T7" i="3"/>
  <c r="S7" i="3"/>
  <c r="R7" i="3"/>
  <c r="Q7" i="3"/>
  <c r="P7" i="3"/>
  <c r="O7" i="3"/>
  <c r="N7" i="3"/>
  <c r="M7" i="3"/>
  <c r="L7" i="3"/>
  <c r="K7" i="3"/>
  <c r="J7" i="3"/>
  <c r="I7" i="3"/>
  <c r="H45" i="3"/>
  <c r="I45" i="3"/>
  <c r="J45" i="3"/>
  <c r="K45" i="3"/>
  <c r="L45" i="3"/>
  <c r="M45" i="3"/>
  <c r="N45" i="3"/>
  <c r="O45" i="3"/>
  <c r="P45" i="3"/>
  <c r="Q45" i="3"/>
  <c r="R45" i="3"/>
  <c r="S45" i="3"/>
  <c r="T45" i="3"/>
  <c r="U45" i="3"/>
  <c r="V45" i="3"/>
  <c r="W45" i="3"/>
  <c r="X45" i="3"/>
  <c r="Y45" i="3"/>
  <c r="Z45" i="3"/>
  <c r="AA45" i="3"/>
  <c r="AB45" i="3"/>
  <c r="AC45" i="3"/>
  <c r="AD45" i="3"/>
  <c r="G45" i="3"/>
  <c r="AD48" i="3"/>
  <c r="AC48" i="3"/>
  <c r="AB48" i="3"/>
  <c r="AA48" i="3"/>
  <c r="Z48" i="3"/>
  <c r="Y48" i="3"/>
  <c r="X48" i="3"/>
  <c r="W48" i="3"/>
  <c r="V48" i="3"/>
  <c r="U48" i="3"/>
  <c r="T48" i="3"/>
  <c r="S48" i="3"/>
  <c r="R48" i="3"/>
  <c r="Q48" i="3"/>
  <c r="P48" i="3"/>
  <c r="O48" i="3"/>
  <c r="N48" i="3"/>
  <c r="M48" i="3"/>
  <c r="L48" i="3"/>
  <c r="K48" i="3"/>
  <c r="J48" i="3"/>
  <c r="I48" i="3"/>
  <c r="H48" i="3"/>
  <c r="G47" i="3"/>
  <c r="H47" i="3"/>
  <c r="I47" i="3"/>
  <c r="J47" i="3"/>
  <c r="K47" i="3"/>
  <c r="L47" i="3"/>
  <c r="M47" i="3"/>
  <c r="N47" i="3"/>
  <c r="O47" i="3"/>
  <c r="P47" i="3"/>
  <c r="Q47" i="3"/>
  <c r="R47" i="3"/>
  <c r="S47" i="3"/>
  <c r="T47" i="3"/>
  <c r="U47" i="3"/>
  <c r="V47" i="3"/>
  <c r="W47" i="3"/>
  <c r="X47" i="3"/>
  <c r="Y47" i="3"/>
  <c r="Z47" i="3"/>
  <c r="AA47" i="3"/>
  <c r="AB47" i="3"/>
  <c r="AC47" i="3"/>
  <c r="AD47" i="3"/>
  <c r="G46" i="3"/>
  <c r="H46" i="3"/>
  <c r="I46" i="3"/>
  <c r="J46" i="3"/>
  <c r="K46" i="3"/>
  <c r="L46" i="3"/>
  <c r="M46" i="3"/>
  <c r="N46" i="3"/>
  <c r="O46" i="3"/>
  <c r="P46" i="3"/>
  <c r="Q46" i="3"/>
  <c r="R46" i="3"/>
  <c r="S46" i="3"/>
  <c r="T46" i="3"/>
  <c r="U46" i="3"/>
  <c r="V46" i="3"/>
  <c r="W46" i="3"/>
  <c r="X46" i="3"/>
  <c r="Y46" i="3"/>
  <c r="Z46" i="3"/>
  <c r="AA46" i="3"/>
  <c r="AB46" i="3"/>
  <c r="AC46" i="3"/>
  <c r="AD46" i="3"/>
  <c r="G44" i="3"/>
  <c r="H44" i="3"/>
  <c r="I44" i="3"/>
  <c r="J44" i="3"/>
  <c r="K44" i="3"/>
  <c r="L44" i="3"/>
  <c r="M44" i="3"/>
  <c r="N44" i="3"/>
  <c r="O44" i="3"/>
  <c r="P44" i="3"/>
  <c r="Q44" i="3"/>
  <c r="R44" i="3"/>
  <c r="S44" i="3"/>
  <c r="T44" i="3"/>
  <c r="U44" i="3"/>
  <c r="V44" i="3"/>
  <c r="W44" i="3"/>
  <c r="X44" i="3"/>
  <c r="Y44" i="3"/>
  <c r="Z44" i="3"/>
  <c r="AA44" i="3"/>
  <c r="AB44" i="3"/>
  <c r="AC44" i="3"/>
  <c r="AD44" i="3"/>
  <c r="G43" i="3"/>
  <c r="H43" i="3"/>
  <c r="I43" i="3"/>
  <c r="J43" i="3"/>
  <c r="K43" i="3"/>
  <c r="L43" i="3"/>
  <c r="M43" i="3"/>
  <c r="N43" i="3"/>
  <c r="O43" i="3"/>
  <c r="P43" i="3"/>
  <c r="Q43" i="3"/>
  <c r="R43" i="3"/>
  <c r="S43" i="3"/>
  <c r="T43" i="3"/>
  <c r="U43" i="3"/>
  <c r="V43" i="3"/>
  <c r="W43" i="3"/>
  <c r="X43" i="3"/>
  <c r="Y43" i="3"/>
  <c r="Z43" i="3"/>
  <c r="AA43" i="3"/>
  <c r="AB43" i="3"/>
  <c r="AC43" i="3"/>
  <c r="AD43" i="3"/>
  <c r="G48" i="3"/>
  <c r="AD41" i="3"/>
  <c r="AC41" i="3"/>
  <c r="AB41" i="3"/>
  <c r="AA41" i="3"/>
  <c r="Z41" i="3"/>
  <c r="Y41" i="3"/>
  <c r="X41" i="3"/>
  <c r="W41" i="3"/>
  <c r="V41" i="3"/>
  <c r="U41" i="3"/>
  <c r="T41" i="3"/>
  <c r="S41" i="3"/>
  <c r="R41" i="3"/>
  <c r="Q41" i="3"/>
  <c r="P41" i="3"/>
  <c r="O41" i="3"/>
  <c r="N41" i="3"/>
  <c r="M41" i="3"/>
  <c r="L41" i="3"/>
  <c r="K41" i="3"/>
  <c r="J41" i="3"/>
  <c r="I41" i="3"/>
  <c r="H41" i="3"/>
  <c r="AD40" i="3"/>
  <c r="AC40" i="3"/>
  <c r="AB40" i="3"/>
  <c r="AA40" i="3"/>
  <c r="Z40" i="3"/>
  <c r="Y40" i="3"/>
  <c r="X40" i="3"/>
  <c r="W40" i="3"/>
  <c r="V40" i="3"/>
  <c r="U40" i="3"/>
  <c r="T40" i="3"/>
  <c r="S40" i="3"/>
  <c r="R40" i="3"/>
  <c r="Q40" i="3"/>
  <c r="P40" i="3"/>
  <c r="O40" i="3"/>
  <c r="N40" i="3"/>
  <c r="M40" i="3"/>
  <c r="L40" i="3"/>
  <c r="K40" i="3"/>
  <c r="J40" i="3"/>
  <c r="I40" i="3"/>
  <c r="H40" i="3"/>
  <c r="AD39" i="3"/>
  <c r="AC39" i="3"/>
  <c r="AB39" i="3"/>
  <c r="AA39" i="3"/>
  <c r="Z39" i="3"/>
  <c r="Y39" i="3"/>
  <c r="X39" i="3"/>
  <c r="W39" i="3"/>
  <c r="V39" i="3"/>
  <c r="U39" i="3"/>
  <c r="T39" i="3"/>
  <c r="S39" i="3"/>
  <c r="R39" i="3"/>
  <c r="Q39" i="3"/>
  <c r="P39" i="3"/>
  <c r="O39" i="3"/>
  <c r="N39" i="3"/>
  <c r="M39" i="3"/>
  <c r="L39" i="3"/>
  <c r="K39" i="3"/>
  <c r="J39" i="3"/>
  <c r="I39" i="3"/>
  <c r="H39" i="3"/>
  <c r="AD38" i="3"/>
  <c r="AC38" i="3"/>
  <c r="AB38" i="3"/>
  <c r="AA38" i="3"/>
  <c r="Z38" i="3"/>
  <c r="Y38" i="3"/>
  <c r="X38" i="3"/>
  <c r="W38" i="3"/>
  <c r="V38" i="3"/>
  <c r="U38" i="3"/>
  <c r="T38" i="3"/>
  <c r="S38" i="3"/>
  <c r="R38" i="3"/>
  <c r="Q38" i="3"/>
  <c r="P38" i="3"/>
  <c r="O38" i="3"/>
  <c r="N38" i="3"/>
  <c r="M38" i="3"/>
  <c r="L38" i="3"/>
  <c r="K38" i="3"/>
  <c r="J38" i="3"/>
  <c r="I38" i="3"/>
  <c r="H38" i="3"/>
  <c r="G40" i="3"/>
  <c r="G41" i="3"/>
  <c r="G39" i="3"/>
  <c r="G38" i="3"/>
  <c r="H64" i="3"/>
  <c r="I64" i="3"/>
  <c r="J64" i="3"/>
  <c r="K64" i="3"/>
  <c r="L64" i="3"/>
  <c r="M64" i="3"/>
  <c r="N64" i="3"/>
  <c r="O64" i="3"/>
  <c r="P64" i="3"/>
  <c r="Q64" i="3"/>
  <c r="R64" i="3"/>
  <c r="S64" i="3"/>
  <c r="T64" i="3"/>
  <c r="U64" i="3"/>
  <c r="V64" i="3"/>
  <c r="W64" i="3"/>
  <c r="X64" i="3"/>
  <c r="Y64" i="3"/>
  <c r="Z64" i="3"/>
  <c r="AA64" i="3"/>
  <c r="AB64" i="3"/>
  <c r="AC64" i="3"/>
  <c r="AD64" i="3"/>
  <c r="G64" i="3"/>
  <c r="F64" i="3"/>
  <c r="G49" i="3"/>
  <c r="G58" i="3"/>
  <c r="G9" i="3"/>
  <c r="G10" i="3"/>
  <c r="G24" i="3"/>
  <c r="G62" i="3"/>
  <c r="G68" i="3"/>
  <c r="G70" i="3"/>
  <c r="F10" i="3"/>
  <c r="F24" i="3"/>
  <c r="F62" i="3"/>
  <c r="F68" i="3"/>
  <c r="F70" i="3"/>
  <c r="F71" i="3"/>
  <c r="G71" i="3"/>
  <c r="H49" i="3"/>
  <c r="H58" i="3"/>
  <c r="H9" i="3"/>
  <c r="H10" i="3"/>
  <c r="H24" i="3"/>
  <c r="H62" i="3"/>
  <c r="H68" i="3"/>
  <c r="H70" i="3"/>
  <c r="H71" i="3"/>
  <c r="I49" i="3"/>
  <c r="I58" i="3"/>
  <c r="I9" i="3"/>
  <c r="I10" i="3"/>
  <c r="I24" i="3"/>
  <c r="I62" i="3"/>
  <c r="I68" i="3"/>
  <c r="I70" i="3"/>
  <c r="I71" i="3"/>
  <c r="J49" i="3"/>
  <c r="J58" i="3"/>
  <c r="J9" i="3"/>
  <c r="J10" i="3"/>
  <c r="J24" i="3"/>
  <c r="J62" i="3"/>
  <c r="J68" i="3"/>
  <c r="J70" i="3"/>
  <c r="J71" i="3"/>
  <c r="K49" i="3"/>
  <c r="K58" i="3"/>
  <c r="K9" i="3"/>
  <c r="K10" i="3"/>
  <c r="K24" i="3"/>
  <c r="K62" i="3"/>
  <c r="K68" i="3"/>
  <c r="K70" i="3"/>
  <c r="K71" i="3"/>
  <c r="L49" i="3"/>
  <c r="L58" i="3"/>
  <c r="L9" i="3"/>
  <c r="L10" i="3"/>
  <c r="L24" i="3"/>
  <c r="L62" i="3"/>
  <c r="L68" i="3"/>
  <c r="L70" i="3"/>
  <c r="L71" i="3"/>
  <c r="M49" i="3"/>
  <c r="M58" i="3"/>
  <c r="M9" i="3"/>
  <c r="M10" i="3"/>
  <c r="M24" i="3"/>
  <c r="M62" i="3"/>
  <c r="M68" i="3"/>
  <c r="M70" i="3"/>
  <c r="M71" i="3"/>
  <c r="N49" i="3"/>
  <c r="N58" i="3"/>
  <c r="N9" i="3"/>
  <c r="N10" i="3"/>
  <c r="N24" i="3"/>
  <c r="N62" i="3"/>
  <c r="N68" i="3"/>
  <c r="N70" i="3"/>
  <c r="N71" i="3"/>
  <c r="O49" i="3"/>
  <c r="O58" i="3"/>
  <c r="O9" i="3"/>
  <c r="O10" i="3"/>
  <c r="O24" i="3"/>
  <c r="O62" i="3"/>
  <c r="O68" i="3"/>
  <c r="O70" i="3"/>
  <c r="O71" i="3"/>
  <c r="P49" i="3"/>
  <c r="P58" i="3"/>
  <c r="P9" i="3"/>
  <c r="P10" i="3"/>
  <c r="P24" i="3"/>
  <c r="P62" i="3"/>
  <c r="P68" i="3"/>
  <c r="P70" i="3"/>
  <c r="P71" i="3"/>
  <c r="Q49" i="3"/>
  <c r="Q58" i="3"/>
  <c r="Q9" i="3"/>
  <c r="Q10" i="3"/>
  <c r="Q24" i="3"/>
  <c r="Q62" i="3"/>
  <c r="Q68" i="3"/>
  <c r="Q70" i="3"/>
  <c r="Q71" i="3"/>
  <c r="R49" i="3"/>
  <c r="R58" i="3"/>
  <c r="R9" i="3"/>
  <c r="R10" i="3"/>
  <c r="R24" i="3"/>
  <c r="R62" i="3"/>
  <c r="R68" i="3"/>
  <c r="R70" i="3"/>
  <c r="R71" i="3"/>
  <c r="S49" i="3"/>
  <c r="S58" i="3"/>
  <c r="S9" i="3"/>
  <c r="S10" i="3"/>
  <c r="S24" i="3"/>
  <c r="S62" i="3"/>
  <c r="S68" i="3"/>
  <c r="S70" i="3"/>
  <c r="S71" i="3"/>
  <c r="T49" i="3"/>
  <c r="T58" i="3"/>
  <c r="T9" i="3"/>
  <c r="T10" i="3"/>
  <c r="T24" i="3"/>
  <c r="T62" i="3"/>
  <c r="T68" i="3"/>
  <c r="T70" i="3"/>
  <c r="T71" i="3"/>
  <c r="U49" i="3"/>
  <c r="U58" i="3"/>
  <c r="U9" i="3"/>
  <c r="U10" i="3"/>
  <c r="U24" i="3"/>
  <c r="U62" i="3"/>
  <c r="U68" i="3"/>
  <c r="U70" i="3"/>
  <c r="U71" i="3"/>
  <c r="V49" i="3"/>
  <c r="V58" i="3"/>
  <c r="V9" i="3"/>
  <c r="V10" i="3"/>
  <c r="V24" i="3"/>
  <c r="V62" i="3"/>
  <c r="V68" i="3"/>
  <c r="V70" i="3"/>
  <c r="V71" i="3"/>
  <c r="W49" i="3"/>
  <c r="W58" i="3"/>
  <c r="W9" i="3"/>
  <c r="W10" i="3"/>
  <c r="W24" i="3"/>
  <c r="W62" i="3"/>
  <c r="W68" i="3"/>
  <c r="W70" i="3"/>
  <c r="W71" i="3"/>
  <c r="X49" i="3"/>
  <c r="X58" i="3"/>
  <c r="X9" i="3"/>
  <c r="X10" i="3"/>
  <c r="X24" i="3"/>
  <c r="X62" i="3"/>
  <c r="X68" i="3"/>
  <c r="X70" i="3"/>
  <c r="X71" i="3"/>
  <c r="F73" i="3"/>
  <c r="C26" i="3"/>
  <c r="F4" i="3"/>
  <c r="AD49" i="3"/>
  <c r="AD56" i="3"/>
  <c r="AD30" i="3"/>
  <c r="AD58" i="3"/>
  <c r="AD21" i="3"/>
  <c r="AD20" i="3"/>
  <c r="AD22" i="3"/>
  <c r="AD9" i="3"/>
  <c r="AD8" i="3"/>
  <c r="AD10" i="3"/>
  <c r="AD24" i="3"/>
  <c r="AD62" i="3"/>
  <c r="AC49" i="3"/>
  <c r="AC56" i="3"/>
  <c r="AC30" i="3"/>
  <c r="AC58" i="3"/>
  <c r="AC21" i="3"/>
  <c r="AC20" i="3"/>
  <c r="AC22" i="3"/>
  <c r="AC9" i="3"/>
  <c r="AC8" i="3"/>
  <c r="AC10" i="3"/>
  <c r="AC24" i="3"/>
  <c r="AC62" i="3"/>
  <c r="AB49" i="3"/>
  <c r="AB56" i="3"/>
  <c r="AB30" i="3"/>
  <c r="AB58" i="3"/>
  <c r="AB21" i="3"/>
  <c r="AB20" i="3"/>
  <c r="AB22" i="3"/>
  <c r="AB9" i="3"/>
  <c r="AB8" i="3"/>
  <c r="AB10" i="3"/>
  <c r="AB24" i="3"/>
  <c r="AB62" i="3"/>
  <c r="AA49" i="3"/>
  <c r="AA56" i="3"/>
  <c r="AA30" i="3"/>
  <c r="AA58" i="3"/>
  <c r="AA21" i="3"/>
  <c r="AA20" i="3"/>
  <c r="AA22" i="3"/>
  <c r="AA9" i="3"/>
  <c r="AA8" i="3"/>
  <c r="AA10" i="3"/>
  <c r="AA24" i="3"/>
  <c r="AA62" i="3"/>
  <c r="Z49" i="3"/>
  <c r="Z56" i="3"/>
  <c r="Z30" i="3"/>
  <c r="Z58" i="3"/>
  <c r="Z21" i="3"/>
  <c r="Z20" i="3"/>
  <c r="Z22" i="3"/>
  <c r="Z9" i="3"/>
  <c r="Z8" i="3"/>
  <c r="Z10" i="3"/>
  <c r="Z24" i="3"/>
  <c r="Z62" i="3"/>
  <c r="Y49" i="3"/>
  <c r="Y56" i="3"/>
  <c r="Y30" i="3"/>
  <c r="Y58" i="3"/>
  <c r="Y21" i="3"/>
  <c r="Y20" i="3"/>
  <c r="Y22" i="3"/>
  <c r="Y9" i="3"/>
  <c r="Y8" i="3"/>
  <c r="Y10" i="3"/>
  <c r="Y24" i="3"/>
  <c r="Y62" i="3"/>
  <c r="X56" i="3"/>
  <c r="X30" i="3"/>
  <c r="X21" i="3"/>
  <c r="X20" i="3"/>
  <c r="X22" i="3"/>
  <c r="X8" i="3"/>
  <c r="W56" i="3"/>
  <c r="W30" i="3"/>
  <c r="W21" i="3"/>
  <c r="W20" i="3"/>
  <c r="W22" i="3"/>
  <c r="W8" i="3"/>
  <c r="V56" i="3"/>
  <c r="V30" i="3"/>
  <c r="V21" i="3"/>
  <c r="V20" i="3"/>
  <c r="V22" i="3"/>
  <c r="V8" i="3"/>
  <c r="C35" i="3"/>
  <c r="U54" i="3"/>
  <c r="U56" i="3"/>
  <c r="U29" i="3"/>
  <c r="U30" i="3"/>
  <c r="U21" i="3"/>
  <c r="U20" i="3"/>
  <c r="U22" i="3"/>
  <c r="U8" i="3"/>
  <c r="T56" i="3"/>
  <c r="T30" i="3"/>
  <c r="T21" i="3"/>
  <c r="T20" i="3"/>
  <c r="T22" i="3"/>
  <c r="T8" i="3"/>
  <c r="S56" i="3"/>
  <c r="S30" i="3"/>
  <c r="S21" i="3"/>
  <c r="S20" i="3"/>
  <c r="S22" i="3"/>
  <c r="S8" i="3"/>
  <c r="R56" i="3"/>
  <c r="R30" i="3"/>
  <c r="R21" i="3"/>
  <c r="R20" i="3"/>
  <c r="R22" i="3"/>
  <c r="R8" i="3"/>
  <c r="Q56" i="3"/>
  <c r="Q30" i="3"/>
  <c r="Q21" i="3"/>
  <c r="Q20" i="3"/>
  <c r="Q22" i="3"/>
  <c r="Q8" i="3"/>
  <c r="P56" i="3"/>
  <c r="P30" i="3"/>
  <c r="P21" i="3"/>
  <c r="P20" i="3"/>
  <c r="P22" i="3"/>
  <c r="P8" i="3"/>
  <c r="O56" i="3"/>
  <c r="O30" i="3"/>
  <c r="O21" i="3"/>
  <c r="O20" i="3"/>
  <c r="O22" i="3"/>
  <c r="O8" i="3"/>
  <c r="N56" i="3"/>
  <c r="N30" i="3"/>
  <c r="N21" i="3"/>
  <c r="N20" i="3"/>
  <c r="N22" i="3"/>
  <c r="N8" i="3"/>
  <c r="M56" i="3"/>
  <c r="M30" i="3"/>
  <c r="M21" i="3"/>
  <c r="M20" i="3"/>
  <c r="M22" i="3"/>
  <c r="M8" i="3"/>
  <c r="L56" i="3"/>
  <c r="L30" i="3"/>
  <c r="L21" i="3"/>
  <c r="L20" i="3"/>
  <c r="L22" i="3"/>
  <c r="L8" i="3"/>
  <c r="K56" i="3"/>
  <c r="K30" i="3"/>
  <c r="K21" i="3"/>
  <c r="K20" i="3"/>
  <c r="K22" i="3"/>
  <c r="K8" i="3"/>
  <c r="J56" i="3"/>
  <c r="J30" i="3"/>
  <c r="J21" i="3"/>
  <c r="J20" i="3"/>
  <c r="J22" i="3"/>
  <c r="J8" i="3"/>
  <c r="I56" i="3"/>
  <c r="I30" i="3"/>
  <c r="I21" i="3"/>
  <c r="I20" i="3"/>
  <c r="I22" i="3"/>
  <c r="I8" i="3"/>
  <c r="H56" i="3"/>
  <c r="H30" i="3"/>
  <c r="H21" i="3"/>
  <c r="H20" i="3"/>
  <c r="H22" i="3"/>
  <c r="H8" i="3"/>
  <c r="G56" i="3"/>
  <c r="G30" i="3"/>
  <c r="G21" i="3"/>
  <c r="G20" i="3"/>
  <c r="G22" i="3"/>
  <c r="G8" i="3"/>
  <c r="C38" i="3"/>
  <c r="F54" i="3"/>
  <c r="F56" i="3"/>
  <c r="F13" i="3"/>
  <c r="F34" i="3"/>
  <c r="F35" i="3"/>
  <c r="F36" i="3"/>
  <c r="F38" i="3"/>
  <c r="F39" i="3"/>
  <c r="F40" i="3"/>
  <c r="F41" i="3"/>
  <c r="F43" i="3"/>
  <c r="F44" i="3"/>
  <c r="F45" i="3"/>
  <c r="F46" i="3"/>
  <c r="F47" i="3"/>
  <c r="F48" i="3"/>
  <c r="F49" i="3"/>
  <c r="C32" i="3"/>
  <c r="F28" i="3"/>
  <c r="C29" i="3"/>
  <c r="F27" i="3"/>
  <c r="F30" i="3"/>
  <c r="F58" i="3"/>
  <c r="F21" i="3"/>
  <c r="F20" i="3"/>
  <c r="F22" i="3"/>
  <c r="F17" i="3"/>
  <c r="F9" i="3"/>
  <c r="F8" i="3"/>
  <c r="F67" i="3"/>
  <c r="F74" i="3"/>
  <c r="G67" i="3"/>
  <c r="G74" i="3"/>
  <c r="H67" i="3"/>
  <c r="H74" i="3"/>
  <c r="I67" i="3"/>
  <c r="I74" i="3"/>
  <c r="J67" i="3"/>
  <c r="J74" i="3"/>
  <c r="K67" i="3"/>
  <c r="K74" i="3"/>
  <c r="L67" i="3"/>
  <c r="L74" i="3"/>
  <c r="M67" i="3"/>
  <c r="M74" i="3"/>
  <c r="N67" i="3"/>
  <c r="N74" i="3"/>
  <c r="O67" i="3"/>
  <c r="O74" i="3"/>
  <c r="P67" i="3"/>
  <c r="P74" i="3"/>
  <c r="Q67" i="3"/>
  <c r="Q74" i="3"/>
  <c r="R67" i="3"/>
  <c r="R74" i="3"/>
  <c r="S67" i="3"/>
  <c r="S74" i="3"/>
  <c r="T67" i="3"/>
  <c r="T74" i="3"/>
  <c r="U67" i="3"/>
  <c r="U74" i="3"/>
  <c r="V67" i="3"/>
  <c r="V74" i="3"/>
  <c r="W67" i="3"/>
  <c r="W74" i="3"/>
  <c r="X67" i="3"/>
  <c r="X74" i="3"/>
  <c r="Y68" i="3"/>
  <c r="Y67" i="3"/>
  <c r="Y74" i="3"/>
  <c r="Z68" i="3"/>
  <c r="Z67" i="3"/>
  <c r="Z74" i="3"/>
  <c r="AA68" i="3"/>
  <c r="AA67" i="3"/>
  <c r="AA74" i="3"/>
  <c r="AB68" i="3"/>
  <c r="AB67" i="3"/>
  <c r="AB74" i="3"/>
  <c r="AC68" i="3"/>
  <c r="AC67" i="3"/>
  <c r="AC74" i="3"/>
  <c r="AD68" i="3"/>
  <c r="AD67" i="3"/>
  <c r="AD74" i="3"/>
  <c r="E74" i="3"/>
  <c r="F75" i="3"/>
  <c r="F66" i="3"/>
  <c r="Y70" i="3"/>
  <c r="Y71" i="3"/>
  <c r="Z70" i="3"/>
  <c r="Z71" i="3"/>
  <c r="AA70" i="3"/>
  <c r="AA71" i="3"/>
  <c r="AB70" i="3"/>
  <c r="AB71" i="3"/>
  <c r="AC70" i="3"/>
  <c r="AC71" i="3"/>
  <c r="AD70" i="3"/>
  <c r="AD71" i="3"/>
  <c r="AD33" i="3"/>
  <c r="AC33" i="3"/>
  <c r="AB33" i="3"/>
  <c r="AA33" i="3"/>
  <c r="Z33" i="3"/>
  <c r="Y33" i="3"/>
  <c r="X33" i="3"/>
  <c r="W33" i="3"/>
  <c r="V33" i="3"/>
  <c r="U33" i="3"/>
  <c r="T33" i="3"/>
  <c r="S33" i="3"/>
  <c r="R33" i="3"/>
  <c r="Q33" i="3"/>
  <c r="P33" i="3"/>
  <c r="O33" i="3"/>
  <c r="N33" i="3"/>
  <c r="M33" i="3"/>
  <c r="L33" i="3"/>
  <c r="K33" i="3"/>
  <c r="J33" i="3"/>
  <c r="I33" i="3"/>
  <c r="H33" i="3"/>
  <c r="G33" i="3"/>
  <c r="B48" i="3"/>
</calcChain>
</file>

<file path=xl/sharedStrings.xml><?xml version="1.0" encoding="utf-8"?>
<sst xmlns="http://schemas.openxmlformats.org/spreadsheetml/2006/main" count="108" uniqueCount="90">
  <si>
    <t>Productie (kWh)</t>
  </si>
  <si>
    <t>Geinstalleerd vermogen (kWp)</t>
  </si>
  <si>
    <t>Productie (kWh/kWp)</t>
  </si>
  <si>
    <t>Kostprijs (EUR/Wp)</t>
  </si>
  <si>
    <t>Aantal panelen</t>
  </si>
  <si>
    <t>Wp per paneel</t>
  </si>
  <si>
    <t>ZoNbligaties</t>
  </si>
  <si>
    <t>Investering</t>
  </si>
  <si>
    <t>Inkomsten uit bedrijfsactiviteiten</t>
  </si>
  <si>
    <t>subtotaal</t>
  </si>
  <si>
    <t>Inkomsten uit financieringsactiviteiten</t>
  </si>
  <si>
    <t>Overige projectbijdragen (subsidie/sponsoring/gift)</t>
  </si>
  <si>
    <t>Overige inkomsten</t>
  </si>
  <si>
    <t>Totale inkomsten</t>
  </si>
  <si>
    <t>Uitgaven door bedrijfsactiviteiten</t>
  </si>
  <si>
    <t>Variabele exploitatiekosten</t>
  </si>
  <si>
    <t>Service &amp; Onderhoud</t>
  </si>
  <si>
    <t>Vaste exploitatiekosten</t>
  </si>
  <si>
    <t>Totale uitgaven</t>
  </si>
  <si>
    <t>Verkoop zonnestroom</t>
  </si>
  <si>
    <t>Lidmaatschapskosten</t>
  </si>
  <si>
    <t>Verkoop GVO's</t>
  </si>
  <si>
    <t>Banklening</t>
  </si>
  <si>
    <t>Eenmalige kosten (incl BTW)</t>
  </si>
  <si>
    <t>Overzicht van kasstromen (excl BTW)</t>
  </si>
  <si>
    <t xml:space="preserve">BTW teruggave over eenmalige kosten </t>
  </si>
  <si>
    <t>BTW teruggave over investeringen</t>
  </si>
  <si>
    <t>Financieringskosten</t>
  </si>
  <si>
    <t>Notaris/juridische kosten</t>
  </si>
  <si>
    <t>Netaansluiting (Enexis)</t>
  </si>
  <si>
    <t>Overige kosten derden</t>
  </si>
  <si>
    <t>Inputvariabelen</t>
  </si>
  <si>
    <t>Eigen Vermogen</t>
  </si>
  <si>
    <t>Beheersvergoeding bestuur</t>
  </si>
  <si>
    <t>Jaarlijkse premie verzekering zonnepanalen onheil van binnen &amp; buiten</t>
  </si>
  <si>
    <t>Jaarlijkse premie aansprakelijkheidsverzekering</t>
  </si>
  <si>
    <t>Kosten betaal &amp; spaarrekeningen</t>
  </si>
  <si>
    <t>Algemene overhead</t>
  </si>
  <si>
    <t xml:space="preserve">Administratie (incl. accountant) </t>
  </si>
  <si>
    <t>Administratie (verrekening e-leverancier en betaling)</t>
  </si>
  <si>
    <t>Verzekering zonnepanelen</t>
  </si>
  <si>
    <t>Aansprakelijkheidsverzekering</t>
  </si>
  <si>
    <t>Dakhuur</t>
  </si>
  <si>
    <t>Administratie (verrekening &amp; betaling)</t>
  </si>
  <si>
    <t>Verkoop GVO's (1 = 1000 kWh)</t>
  </si>
  <si>
    <t>Lidmaatschapskosten (per paneel)</t>
  </si>
  <si>
    <t>Overige aannames</t>
  </si>
  <si>
    <t>Jaarlijkse lidmaatschapskosten</t>
  </si>
  <si>
    <t>Netto</t>
  </si>
  <si>
    <t>Uitgaven door investeringsactiviteiten</t>
  </si>
  <si>
    <t>Aanschaf zonne-energie installatie (incl BTW)</t>
  </si>
  <si>
    <t>Zonne-energie installatie (incl BTW)</t>
  </si>
  <si>
    <t>Belasting (Vpb)</t>
  </si>
  <si>
    <t>BTW tarief</t>
  </si>
  <si>
    <t>Reserveringen</t>
  </si>
  <si>
    <t>Vervangen omvormers</t>
  </si>
  <si>
    <t>Vervangen omvormers na 15 jaar</t>
  </si>
  <si>
    <t>Uitgaven door financieringsactiviteiten</t>
  </si>
  <si>
    <t>Netaansluiting</t>
  </si>
  <si>
    <t>Eenmalige kosten &lt;3x80A aansluiting</t>
  </si>
  <si>
    <t>rente reserve omvormers</t>
  </si>
  <si>
    <t>Vervanging omvormers na 15 jaar</t>
  </si>
  <si>
    <t>Kosten incl installatie incl. BTW</t>
  </si>
  <si>
    <t>Netaansluiting (incl. BTW)</t>
  </si>
  <si>
    <t>Overige uitgaven</t>
  </si>
  <si>
    <t>Dotatie reserve vervanging omvormers</t>
  </si>
  <si>
    <t>Dotatie reserve ZoNbligatie</t>
  </si>
  <si>
    <t>Propositie voor Cooperatielid per zonnepaneel</t>
  </si>
  <si>
    <t>Uitkering cooperatie redenement zonnestroom</t>
  </si>
  <si>
    <t>Fiscale postcoderooskorting</t>
  </si>
  <si>
    <t>Cummulatief</t>
  </si>
  <si>
    <t>Terugverdientijd</t>
  </si>
  <si>
    <t>VpB tarief</t>
  </si>
  <si>
    <t>Fiscaal voordeel postcoderoos</t>
  </si>
  <si>
    <t>Totaal netto beschikbaar voor leden</t>
  </si>
  <si>
    <t>IRR (min of meer vergelijkbaar met spaarrente)</t>
  </si>
  <si>
    <r>
      <t xml:space="preserve">Netaansluiting (Enexis -&gt; </t>
    </r>
    <r>
      <rPr>
        <sz val="11"/>
        <color rgb="FFFF0000"/>
        <rFont val="Calibri"/>
        <scheme val="minor"/>
      </rPr>
      <t>Best Case</t>
    </r>
    <r>
      <rPr>
        <sz val="11"/>
        <rFont val="Calibri"/>
        <family val="2"/>
        <scheme val="minor"/>
      </rPr>
      <t>)</t>
    </r>
  </si>
  <si>
    <r>
      <rPr>
        <b/>
        <sz val="10"/>
        <color theme="1"/>
        <rFont val="Calibri"/>
        <family val="2"/>
        <scheme val="minor"/>
      </rPr>
      <t>Opgesteld door</t>
    </r>
    <r>
      <rPr>
        <sz val="10"/>
        <color theme="1"/>
        <rFont val="Calibri"/>
        <family val="2"/>
        <scheme val="minor"/>
      </rPr>
      <t>: Sven Pluut</t>
    </r>
  </si>
  <si>
    <r>
      <rPr>
        <b/>
        <sz val="10"/>
        <color theme="1"/>
        <rFont val="Calibri"/>
        <family val="2"/>
        <scheme val="minor"/>
      </rPr>
      <t>Contact:</t>
    </r>
    <r>
      <rPr>
        <sz val="10"/>
        <color theme="1"/>
        <rFont val="Calibri"/>
        <family val="2"/>
        <scheme val="minor"/>
      </rPr>
      <t xml:space="preserve"> sven@zonnepanelendelen.nl</t>
    </r>
  </si>
  <si>
    <t>Degradatiefactor per jaar</t>
  </si>
  <si>
    <r>
      <rPr>
        <b/>
        <sz val="10"/>
        <color theme="1"/>
        <rFont val="Calibri"/>
        <family val="2"/>
        <scheme val="minor"/>
      </rPr>
      <t>Online:</t>
    </r>
    <r>
      <rPr>
        <sz val="10"/>
        <color theme="1"/>
        <rFont val="Calibri"/>
        <family val="2"/>
        <scheme val="minor"/>
      </rPr>
      <t xml:space="preserve"> www.zonnepanelendelen.nl</t>
    </r>
  </si>
  <si>
    <t>! Geen rekening gehouden met belasting ! Geen rekening gehouden met belasting !Geen rekening gehouden met belasting !Geen rekening gehouden met belasting !Geen rekening gehouden met belasting !Geen rekening gehouden met belasting !Geen rekening gehouden met belasting !Geen rekening gehouden met belasting !Geen rekening gehouden met belasting !</t>
  </si>
  <si>
    <r>
      <rPr>
        <b/>
        <i/>
        <sz val="11"/>
        <color theme="1"/>
        <rFont val="Calibri"/>
        <scheme val="minor"/>
      </rPr>
      <t>Beschrijving</t>
    </r>
    <r>
      <rPr>
        <i/>
        <sz val="11"/>
        <color theme="1"/>
        <rFont val="Calibri"/>
        <scheme val="minor"/>
      </rPr>
      <t>: 'Standaard' business case (cashflows) voor cooperatie met 200 zonnepanelen en looptijd van 25 jaar.</t>
    </r>
  </si>
  <si>
    <t>prijs' per zonnepaneel leden</t>
  </si>
  <si>
    <t>Indexatie variabele exploitatiekosten</t>
  </si>
  <si>
    <t>Indexatie vaste exploitatiekosten</t>
  </si>
  <si>
    <t>prijsstijging stroomprijs</t>
  </si>
  <si>
    <r>
      <rPr>
        <b/>
        <sz val="10"/>
        <color theme="1"/>
        <rFont val="Calibri"/>
        <family val="2"/>
        <scheme val="minor"/>
      </rPr>
      <t>Datum</t>
    </r>
    <r>
      <rPr>
        <sz val="10"/>
        <color theme="1"/>
        <rFont val="Calibri"/>
        <family val="2"/>
        <scheme val="minor"/>
      </rPr>
      <t>: 06-02-2013</t>
    </r>
  </si>
  <si>
    <r>
      <rPr>
        <b/>
        <sz val="10"/>
        <color theme="1"/>
        <rFont val="Calibri"/>
        <family val="2"/>
        <scheme val="minor"/>
      </rPr>
      <t>Versie</t>
    </r>
    <r>
      <rPr>
        <sz val="10"/>
        <color theme="1"/>
        <rFont val="Calibri"/>
        <family val="2"/>
        <scheme val="minor"/>
      </rPr>
      <t>: 1.1</t>
    </r>
  </si>
  <si>
    <r>
      <t>indexatie fiscaal voordeel (</t>
    </r>
    <r>
      <rPr>
        <sz val="11"/>
        <color rgb="FFFF0000"/>
        <rFont val="Calibri"/>
        <scheme val="minor"/>
      </rPr>
      <t>geen sprake van</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</si>
</sst>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_-[$€-2]\ * #,##0_-;_-[$€-2]\ * #,##0\-;_-[$€-2]\ * &quot;-&quot;??_-;_-@_-"/>
    <numFmt numFmtId="166" formatCode="_-[$€-2]\ * #,##0.0_-;_-[$€-2]\ * #,##0.0\-;_-[$€-2]\ * &quot;-&quot;??_-;_-@_-"/>
    <numFmt numFmtId="167" formatCode="_-[$€-2]\ * #,##0.00_-;_-[$€-2]\ * #,##0.00\-;_-[$€-2]\ * &quot;-&quot;??_-;_-@_-"/>
    <numFmt numFmtId="168" formatCode="_-[$€-2]\ * #,##0.000_-;_-[$€-2]\ * #,##0.000\-;_-[$€-2]\ * &quot;-&quot;??_-;_-@_-"/>
    <numFmt numFmtId="169" formatCode="#,##0.0_-;#,##0.0\-"/>
    <numFmt numFmtId="170" formatCode="#,##0;[Red]\(#,##0\);&quot; - &quot;"/>
    <numFmt numFmtId="171" formatCode="#,##0;[Red]#,##0"/>
  </numFmts>
  <fonts count="21" x14ac:knownFonts="1">
    <font>
      <sz val="12"/>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sz val="10"/>
      <color theme="0" tint="-0.499984740745262"/>
      <name val="Calibri"/>
      <family val="2"/>
      <scheme val="minor"/>
    </font>
    <font>
      <u/>
      <sz val="12"/>
      <color theme="10"/>
      <name val="Calibri"/>
      <family val="2"/>
      <scheme val="minor"/>
    </font>
    <font>
      <u/>
      <sz val="12"/>
      <color theme="11"/>
      <name val="Calibri"/>
      <family val="2"/>
      <scheme val="minor"/>
    </font>
    <font>
      <sz val="12"/>
      <name val="Calibri"/>
      <scheme val="minor"/>
    </font>
    <font>
      <b/>
      <sz val="12"/>
      <color indexed="8"/>
      <name val="Arial"/>
      <family val="2"/>
    </font>
    <font>
      <sz val="11"/>
      <name val="Calibri"/>
      <family val="2"/>
      <scheme val="minor"/>
    </font>
    <font>
      <b/>
      <sz val="11"/>
      <color theme="1"/>
      <name val="Calibri"/>
      <family val="2"/>
      <scheme val="minor"/>
    </font>
    <font>
      <b/>
      <sz val="11"/>
      <name val="Calibri"/>
      <scheme val="minor"/>
    </font>
    <font>
      <sz val="11"/>
      <color theme="1"/>
      <name val="Calibri"/>
      <scheme val="minor"/>
    </font>
    <font>
      <b/>
      <sz val="11"/>
      <color indexed="8"/>
      <name val="Calibri"/>
      <scheme val="minor"/>
    </font>
    <font>
      <b/>
      <sz val="10"/>
      <color indexed="8"/>
      <name val="Calibri"/>
      <scheme val="minor"/>
    </font>
    <font>
      <sz val="11"/>
      <color theme="0"/>
      <name val="Calibri"/>
      <scheme val="minor"/>
    </font>
    <font>
      <sz val="11"/>
      <color rgb="FFFF0000"/>
      <name val="Calibri"/>
      <scheme val="minor"/>
    </font>
    <font>
      <i/>
      <sz val="11"/>
      <color theme="1"/>
      <name val="Calibri"/>
      <scheme val="minor"/>
    </font>
    <font>
      <b/>
      <i/>
      <sz val="11"/>
      <color theme="1"/>
      <name val="Calibri"/>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double">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rgb="FFFFEA3D"/>
      </bottom>
      <diagonal/>
    </border>
    <border>
      <left/>
      <right/>
      <top/>
      <bottom style="medium">
        <color rgb="FFFDEA3D"/>
      </bottom>
      <diagonal/>
    </border>
    <border>
      <left style="thin">
        <color rgb="FFFFE74D"/>
      </left>
      <right style="thin">
        <color rgb="FFFFE74D"/>
      </right>
      <top style="thin">
        <color rgb="FFFFE74D"/>
      </top>
      <bottom style="thin">
        <color rgb="FFFFE74D"/>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390">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3">
    <xf numFmtId="0" fontId="0" fillId="0" borderId="0" xfId="0"/>
    <xf numFmtId="0" fontId="0" fillId="2" borderId="0" xfId="0" applyFill="1" applyBorder="1"/>
    <xf numFmtId="0" fontId="0" fillId="0" borderId="0" xfId="0" applyBorder="1"/>
    <xf numFmtId="0" fontId="0" fillId="2" borderId="3" xfId="0" applyFill="1" applyBorder="1"/>
    <xf numFmtId="0" fontId="6" fillId="2" borderId="0" xfId="0" applyFont="1" applyFill="1" applyBorder="1" applyAlignment="1">
      <alignment horizontal="left" indent="2"/>
    </xf>
    <xf numFmtId="0" fontId="12" fillId="2" borderId="0" xfId="0" applyFont="1" applyFill="1" applyBorder="1"/>
    <xf numFmtId="0" fontId="13" fillId="2" borderId="4" xfId="0" applyFont="1" applyFill="1" applyBorder="1"/>
    <xf numFmtId="0" fontId="4" fillId="2" borderId="0" xfId="0" applyFont="1" applyFill="1" applyBorder="1" applyAlignment="1">
      <alignment horizontal="right"/>
    </xf>
    <xf numFmtId="0" fontId="14" fillId="2" borderId="0" xfId="0" applyFont="1" applyFill="1" applyBorder="1" applyAlignment="1">
      <alignment horizontal="left" indent="1"/>
    </xf>
    <xf numFmtId="0" fontId="15" fillId="2" borderId="5" xfId="0" applyFont="1" applyFill="1" applyBorder="1" applyAlignment="1">
      <alignment horizontal="left" indent="2"/>
    </xf>
    <xf numFmtId="0" fontId="16" fillId="2" borderId="0" xfId="0" applyFont="1" applyFill="1" applyBorder="1" applyAlignment="1">
      <alignment horizontal="left" indent="1"/>
    </xf>
    <xf numFmtId="0" fontId="16" fillId="2" borderId="0" xfId="0" applyFont="1" applyFill="1" applyBorder="1" applyAlignment="1">
      <alignment horizontal="left" indent="2"/>
    </xf>
    <xf numFmtId="0" fontId="0" fillId="2" borderId="0" xfId="0" applyFont="1" applyFill="1" applyBorder="1"/>
    <xf numFmtId="0" fontId="14" fillId="2" borderId="0" xfId="0" applyFont="1" applyFill="1" applyBorder="1"/>
    <xf numFmtId="170" fontId="0" fillId="2" borderId="0" xfId="0" applyNumberFormat="1" applyFill="1" applyBorder="1"/>
    <xf numFmtId="170" fontId="14" fillId="2" borderId="0" xfId="0" applyNumberFormat="1" applyFont="1" applyFill="1" applyBorder="1"/>
    <xf numFmtId="170" fontId="14" fillId="2" borderId="6" xfId="0" applyNumberFormat="1" applyFont="1" applyFill="1" applyBorder="1"/>
    <xf numFmtId="170" fontId="12" fillId="2" borderId="0" xfId="0" applyNumberFormat="1" applyFont="1" applyFill="1" applyBorder="1"/>
    <xf numFmtId="170" fontId="14" fillId="2" borderId="0" xfId="0" applyNumberFormat="1" applyFont="1" applyFill="1" applyBorder="1" applyAlignment="1">
      <alignment horizontal="left" indent="1"/>
    </xf>
    <xf numFmtId="170" fontId="14" fillId="2" borderId="4" xfId="0" applyNumberFormat="1" applyFont="1" applyFill="1" applyBorder="1"/>
    <xf numFmtId="0" fontId="14" fillId="2" borderId="6" xfId="0" applyFont="1" applyFill="1" applyBorder="1" applyAlignment="1">
      <alignment horizontal="left" indent="1"/>
    </xf>
    <xf numFmtId="0" fontId="15" fillId="2" borderId="0" xfId="0" applyFont="1" applyFill="1" applyBorder="1" applyAlignment="1">
      <alignment horizontal="left" indent="2"/>
    </xf>
    <xf numFmtId="170" fontId="5" fillId="2" borderId="0" xfId="0" applyNumberFormat="1" applyFont="1" applyFill="1" applyBorder="1"/>
    <xf numFmtId="0" fontId="15" fillId="2" borderId="7" xfId="0" applyFont="1" applyFill="1" applyBorder="1" applyAlignment="1">
      <alignment horizontal="left" indent="2"/>
    </xf>
    <xf numFmtId="169" fontId="14" fillId="2" borderId="7" xfId="0" applyNumberFormat="1" applyFont="1" applyFill="1" applyBorder="1"/>
    <xf numFmtId="170" fontId="17" fillId="2" borderId="0" xfId="0" applyNumberFormat="1" applyFont="1" applyFill="1" applyBorder="1"/>
    <xf numFmtId="170" fontId="5" fillId="2" borderId="6" xfId="0" applyNumberFormat="1" applyFont="1" applyFill="1" applyBorder="1"/>
    <xf numFmtId="0" fontId="12" fillId="2" borderId="4" xfId="0" applyFont="1" applyFill="1" applyBorder="1"/>
    <xf numFmtId="0" fontId="15" fillId="2" borderId="4" xfId="0" applyFont="1" applyFill="1" applyBorder="1" applyAlignment="1">
      <alignment horizontal="left" indent="2"/>
    </xf>
    <xf numFmtId="0" fontId="0" fillId="2" borderId="8" xfId="0" applyFill="1" applyBorder="1"/>
    <xf numFmtId="0" fontId="0" fillId="2" borderId="9" xfId="0" applyFill="1" applyBorder="1"/>
    <xf numFmtId="0" fontId="13" fillId="2" borderId="0" xfId="0" applyFont="1" applyFill="1" applyBorder="1"/>
    <xf numFmtId="0" fontId="0" fillId="3" borderId="8" xfId="0" applyFill="1" applyBorder="1"/>
    <xf numFmtId="0" fontId="0" fillId="3" borderId="10" xfId="0" applyFill="1" applyBorder="1"/>
    <xf numFmtId="0" fontId="12" fillId="3" borderId="8" xfId="0" applyFont="1" applyFill="1" applyBorder="1"/>
    <xf numFmtId="0" fontId="14" fillId="3" borderId="10" xfId="0" applyFont="1" applyFill="1" applyBorder="1"/>
    <xf numFmtId="0" fontId="14" fillId="3" borderId="8" xfId="0" applyFont="1" applyFill="1" applyBorder="1" applyAlignment="1">
      <alignment horizontal="left" indent="1"/>
    </xf>
    <xf numFmtId="164" fontId="14" fillId="3" borderId="10" xfId="1" applyNumberFormat="1" applyFont="1" applyFill="1" applyBorder="1"/>
    <xf numFmtId="2" fontId="14" fillId="3" borderId="10" xfId="0" applyNumberFormat="1" applyFont="1" applyFill="1" applyBorder="1"/>
    <xf numFmtId="0" fontId="14" fillId="3" borderId="8" xfId="0" applyFont="1" applyFill="1" applyBorder="1"/>
    <xf numFmtId="165" fontId="14" fillId="3" borderId="10" xfId="0" applyNumberFormat="1" applyFont="1" applyFill="1" applyBorder="1"/>
    <xf numFmtId="167" fontId="11" fillId="3" borderId="10" xfId="0" applyNumberFormat="1" applyFont="1" applyFill="1" applyBorder="1"/>
    <xf numFmtId="166" fontId="14" fillId="3" borderId="10" xfId="0" applyNumberFormat="1" applyFont="1" applyFill="1" applyBorder="1"/>
    <xf numFmtId="0" fontId="13" fillId="3" borderId="8" xfId="0" applyFont="1" applyFill="1" applyBorder="1"/>
    <xf numFmtId="0" fontId="11" fillId="3" borderId="8" xfId="0" applyFont="1" applyFill="1" applyBorder="1" applyAlignment="1">
      <alignment horizontal="left" indent="1"/>
    </xf>
    <xf numFmtId="168" fontId="14" fillId="3" borderId="10" xfId="0" applyNumberFormat="1" applyFont="1" applyFill="1" applyBorder="1"/>
    <xf numFmtId="167" fontId="14" fillId="3" borderId="10" xfId="0" applyNumberFormat="1" applyFont="1" applyFill="1" applyBorder="1"/>
    <xf numFmtId="0" fontId="9" fillId="3" borderId="10" xfId="0" applyFont="1" applyFill="1" applyBorder="1"/>
    <xf numFmtId="9" fontId="11" fillId="3" borderId="10" xfId="1" applyFont="1" applyFill="1" applyBorder="1"/>
    <xf numFmtId="2" fontId="11" fillId="3" borderId="8" xfId="0" applyNumberFormat="1" applyFont="1" applyFill="1" applyBorder="1" applyAlignment="1">
      <alignment horizontal="left" indent="1"/>
    </xf>
    <xf numFmtId="10" fontId="14" fillId="3" borderId="10" xfId="1" applyNumberFormat="1" applyFont="1" applyFill="1" applyBorder="1"/>
    <xf numFmtId="0" fontId="0" fillId="2" borderId="11" xfId="0" applyFill="1" applyBorder="1"/>
    <xf numFmtId="0" fontId="0" fillId="3" borderId="9" xfId="0" applyFill="1" applyBorder="1"/>
    <xf numFmtId="0" fontId="0" fillId="3" borderId="11" xfId="0" applyFill="1" applyBorder="1"/>
    <xf numFmtId="0" fontId="0" fillId="2" borderId="10" xfId="0" applyFill="1" applyBorder="1"/>
    <xf numFmtId="169" fontId="14" fillId="2" borderId="0" xfId="0" applyNumberFormat="1" applyFont="1" applyFill="1" applyBorder="1"/>
    <xf numFmtId="0" fontId="0" fillId="2" borderId="12" xfId="0" applyFill="1" applyBorder="1"/>
    <xf numFmtId="0" fontId="0" fillId="2" borderId="13" xfId="0" applyFill="1" applyBorder="1"/>
    <xf numFmtId="0" fontId="0" fillId="2" borderId="1" xfId="0" applyFill="1" applyBorder="1"/>
    <xf numFmtId="0" fontId="0" fillId="2" borderId="2" xfId="0" applyFill="1" applyBorder="1"/>
    <xf numFmtId="0" fontId="0" fillId="0" borderId="2" xfId="0" applyBorder="1"/>
    <xf numFmtId="171" fontId="0" fillId="2" borderId="0" xfId="0" applyNumberFormat="1" applyFill="1" applyBorder="1"/>
    <xf numFmtId="0" fontId="0" fillId="0" borderId="3" xfId="0" applyFill="1" applyBorder="1"/>
    <xf numFmtId="0" fontId="0" fillId="0" borderId="0" xfId="0" applyFill="1" applyBorder="1"/>
    <xf numFmtId="0" fontId="0" fillId="0" borderId="3" xfId="0" applyBorder="1"/>
    <xf numFmtId="0" fontId="5" fillId="2" borderId="8" xfId="0" applyFont="1" applyFill="1" applyBorder="1" applyAlignment="1">
      <alignment horizontal="left" indent="1"/>
    </xf>
    <xf numFmtId="170" fontId="3" fillId="2" borderId="0" xfId="0" applyNumberFormat="1" applyFont="1" applyFill="1" applyBorder="1" applyAlignment="1">
      <alignment horizontal="right"/>
    </xf>
    <xf numFmtId="170" fontId="3" fillId="2" borderId="5" xfId="0" applyNumberFormat="1" applyFont="1" applyFill="1" applyBorder="1"/>
    <xf numFmtId="170" fontId="19" fillId="2" borderId="0" xfId="0" applyNumberFormat="1" applyFont="1" applyFill="1" applyBorder="1"/>
    <xf numFmtId="0" fontId="19" fillId="2" borderId="8" xfId="0" quotePrefix="1" applyFont="1" applyFill="1" applyBorder="1" applyAlignment="1">
      <alignment horizontal="center" vertical="top" wrapText="1"/>
    </xf>
    <xf numFmtId="0" fontId="19" fillId="2" borderId="10" xfId="0" quotePrefix="1" applyFont="1" applyFill="1" applyBorder="1" applyAlignment="1">
      <alignment horizontal="center" vertical="top" wrapText="1"/>
    </xf>
    <xf numFmtId="0" fontId="12" fillId="2" borderId="5" xfId="0" applyFont="1" applyFill="1" applyBorder="1" applyAlignment="1">
      <alignment horizontal="left" indent="2"/>
    </xf>
    <xf numFmtId="0" fontId="14" fillId="2" borderId="0" xfId="0" applyFont="1" applyFill="1" applyBorder="1" applyAlignment="1">
      <alignment horizontal="left" indent="2"/>
    </xf>
    <xf numFmtId="0" fontId="12" fillId="2" borderId="0" xfId="0" applyFont="1" applyFill="1" applyBorder="1" applyAlignment="1">
      <alignment horizontal="left" indent="2"/>
    </xf>
    <xf numFmtId="0" fontId="11" fillId="2" borderId="0" xfId="0" applyFont="1" applyFill="1" applyBorder="1"/>
    <xf numFmtId="0" fontId="10" fillId="2" borderId="14" xfId="0" applyFont="1" applyFill="1" applyBorder="1" applyAlignment="1"/>
    <xf numFmtId="0" fontId="2" fillId="2" borderId="15" xfId="0" applyFont="1" applyFill="1" applyBorder="1"/>
    <xf numFmtId="0" fontId="11" fillId="3" borderId="8" xfId="0" quotePrefix="1" applyFont="1" applyFill="1" applyBorder="1" applyAlignment="1">
      <alignment horizontal="left" indent="1"/>
    </xf>
    <xf numFmtId="164" fontId="3" fillId="2" borderId="16" xfId="1" applyNumberFormat="1" applyFont="1" applyFill="1" applyBorder="1"/>
    <xf numFmtId="0" fontId="10" fillId="3" borderId="17" xfId="0" applyFont="1" applyFill="1" applyBorder="1" applyAlignment="1"/>
    <xf numFmtId="0" fontId="14" fillId="3" borderId="18" xfId="0" applyFont="1" applyFill="1" applyBorder="1"/>
    <xf numFmtId="0" fontId="19" fillId="2" borderId="8" xfId="0" quotePrefix="1" applyFont="1" applyFill="1" applyBorder="1" applyAlignment="1">
      <alignment horizontal="center" vertical="top" wrapText="1"/>
    </xf>
    <xf numFmtId="0" fontId="19" fillId="2" borderId="10" xfId="0" quotePrefix="1" applyFont="1" applyFill="1" applyBorder="1" applyAlignment="1">
      <alignment horizontal="center" vertical="top" wrapText="1"/>
    </xf>
  </cellXfs>
  <cellStyles count="390">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Gevolgde hyperlink" xfId="119" builtinId="9" hidden="1"/>
    <cellStyle name="Gevolgde hyperlink" xfId="121" builtinId="9" hidden="1"/>
    <cellStyle name="Gevolgde hyperlink" xfId="123"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Gevolgde hyperlink" xfId="173" builtinId="9" hidden="1"/>
    <cellStyle name="Gevolgde hyperlink" xfId="175" builtinId="9" hidden="1"/>
    <cellStyle name="Gevolgde hyperlink" xfId="177" builtinId="9" hidden="1"/>
    <cellStyle name="Gevolgde hyperlink" xfId="179" builtinId="9" hidden="1"/>
    <cellStyle name="Gevolgde hyperlink" xfId="181" builtinId="9" hidden="1"/>
    <cellStyle name="Gevolgde hyperlink" xfId="183" builtinId="9" hidden="1"/>
    <cellStyle name="Gevolgde hyperlink" xfId="185" builtinId="9" hidden="1"/>
    <cellStyle name="Gevolgde hyperlink" xfId="187" builtinId="9" hidden="1"/>
    <cellStyle name="Gevolgde hyperlink" xfId="189" builtinId="9" hidden="1"/>
    <cellStyle name="Gevolgde hyperlink" xfId="191" builtinId="9" hidden="1"/>
    <cellStyle name="Gevolgde hyperlink" xfId="193" builtinId="9" hidden="1"/>
    <cellStyle name="Gevolgde hyperlink" xfId="195" builtinId="9" hidden="1"/>
    <cellStyle name="Gevolgde hyperlink" xfId="197" builtinId="9" hidden="1"/>
    <cellStyle name="Gevolgde hyperlink" xfId="199" builtinId="9" hidden="1"/>
    <cellStyle name="Gevolgde hyperlink" xfId="201" builtinId="9" hidden="1"/>
    <cellStyle name="Gevolgde hyperlink" xfId="203" builtinId="9" hidden="1"/>
    <cellStyle name="Gevolgde hyperlink" xfId="205" builtinId="9" hidden="1"/>
    <cellStyle name="Gevolgde hyperlink" xfId="207" builtinId="9" hidden="1"/>
    <cellStyle name="Gevolgde hyperlink" xfId="209" builtinId="9" hidden="1"/>
    <cellStyle name="Gevolgde hyperlink" xfId="211" builtinId="9" hidden="1"/>
    <cellStyle name="Gevolgde hyperlink" xfId="213" builtinId="9" hidden="1"/>
    <cellStyle name="Gevolgde hyperlink" xfId="215" builtinId="9" hidden="1"/>
    <cellStyle name="Gevolgde hyperlink" xfId="217" builtinId="9" hidden="1"/>
    <cellStyle name="Gevolgde hyperlink" xfId="219" builtinId="9" hidden="1"/>
    <cellStyle name="Gevolgde hyperlink" xfId="221" builtinId="9" hidden="1"/>
    <cellStyle name="Gevolgde hyperlink" xfId="223" builtinId="9" hidden="1"/>
    <cellStyle name="Gevolgde hyperlink" xfId="225" builtinId="9" hidden="1"/>
    <cellStyle name="Gevolgde hyperlink" xfId="227" builtinId="9" hidden="1"/>
    <cellStyle name="Gevolgde hyperlink" xfId="229" builtinId="9" hidden="1"/>
    <cellStyle name="Gevolgde hyperlink" xfId="231" builtinId="9" hidden="1"/>
    <cellStyle name="Gevolgde hyperlink" xfId="233" builtinId="9" hidden="1"/>
    <cellStyle name="Gevolgde hyperlink" xfId="235" builtinId="9" hidden="1"/>
    <cellStyle name="Gevolgde hyperlink" xfId="237" builtinId="9" hidden="1"/>
    <cellStyle name="Gevolgde hyperlink" xfId="239" builtinId="9" hidden="1"/>
    <cellStyle name="Gevolgde hyperlink" xfId="241" builtinId="9" hidden="1"/>
    <cellStyle name="Gevolgde hyperlink" xfId="243" builtinId="9" hidden="1"/>
    <cellStyle name="Gevolgde hyperlink" xfId="245" builtinId="9" hidden="1"/>
    <cellStyle name="Gevolgde hyperlink" xfId="247" builtinId="9" hidden="1"/>
    <cellStyle name="Gevolgde hyperlink" xfId="249" builtinId="9" hidden="1"/>
    <cellStyle name="Gevolgde hyperlink" xfId="251" builtinId="9" hidden="1"/>
    <cellStyle name="Gevolgde hyperlink" xfId="253" builtinId="9" hidden="1"/>
    <cellStyle name="Gevolgde hyperlink" xfId="255" builtinId="9" hidden="1"/>
    <cellStyle name="Gevolgde hyperlink" xfId="257" builtinId="9" hidden="1"/>
    <cellStyle name="Gevolgde hyperlink" xfId="259" builtinId="9" hidden="1"/>
    <cellStyle name="Gevolgde hyperlink" xfId="261" builtinId="9" hidden="1"/>
    <cellStyle name="Gevolgde hyperlink" xfId="263" builtinId="9" hidden="1"/>
    <cellStyle name="Gevolgde hyperlink" xfId="265" builtinId="9" hidden="1"/>
    <cellStyle name="Gevolgde hyperlink" xfId="267" builtinId="9" hidden="1"/>
    <cellStyle name="Gevolgde hyperlink" xfId="269" builtinId="9" hidden="1"/>
    <cellStyle name="Gevolgde hyperlink" xfId="271" builtinId="9" hidden="1"/>
    <cellStyle name="Gevolgde hyperlink" xfId="273" builtinId="9" hidden="1"/>
    <cellStyle name="Gevolgde hyperlink" xfId="275" builtinId="9" hidden="1"/>
    <cellStyle name="Gevolgde hyperlink" xfId="277" builtinId="9" hidden="1"/>
    <cellStyle name="Gevolgde hyperlink" xfId="279" builtinId="9" hidden="1"/>
    <cellStyle name="Gevolgde hyperlink" xfId="281" builtinId="9" hidden="1"/>
    <cellStyle name="Gevolgde hyperlink" xfId="283" builtinId="9" hidden="1"/>
    <cellStyle name="Gevolgde hyperlink" xfId="285" builtinId="9" hidden="1"/>
    <cellStyle name="Gevolgde hyperlink" xfId="287" builtinId="9" hidden="1"/>
    <cellStyle name="Gevolgde hyperlink" xfId="289" builtinId="9" hidden="1"/>
    <cellStyle name="Gevolgde hyperlink" xfId="291" builtinId="9" hidden="1"/>
    <cellStyle name="Gevolgde hyperlink" xfId="293" builtinId="9" hidden="1"/>
    <cellStyle name="Gevolgde hyperlink" xfId="295" builtinId="9" hidden="1"/>
    <cellStyle name="Gevolgde hyperlink" xfId="297" builtinId="9" hidden="1"/>
    <cellStyle name="Gevolgde hyperlink" xfId="299" builtinId="9" hidden="1"/>
    <cellStyle name="Gevolgde hyperlink" xfId="301" builtinId="9" hidden="1"/>
    <cellStyle name="Gevolgde hyperlink" xfId="303" builtinId="9" hidden="1"/>
    <cellStyle name="Gevolgde hyperlink" xfId="305" builtinId="9" hidden="1"/>
    <cellStyle name="Gevolgde hyperlink" xfId="307" builtinId="9" hidden="1"/>
    <cellStyle name="Gevolgde hyperlink" xfId="309" builtinId="9" hidden="1"/>
    <cellStyle name="Gevolgde hyperlink" xfId="311" builtinId="9" hidden="1"/>
    <cellStyle name="Gevolgde hyperlink" xfId="313" builtinId="9" hidden="1"/>
    <cellStyle name="Gevolgde hyperlink" xfId="315" builtinId="9" hidden="1"/>
    <cellStyle name="Gevolgde hyperlink" xfId="317" builtinId="9" hidden="1"/>
    <cellStyle name="Gevolgde hyperlink" xfId="319" builtinId="9" hidden="1"/>
    <cellStyle name="Gevolgde hyperlink" xfId="321" builtinId="9" hidden="1"/>
    <cellStyle name="Gevolgde hyperlink" xfId="323" builtinId="9" hidden="1"/>
    <cellStyle name="Gevolgde hyperlink" xfId="325" builtinId="9" hidden="1"/>
    <cellStyle name="Gevolgde hyperlink" xfId="327" builtinId="9" hidden="1"/>
    <cellStyle name="Gevolgde hyperlink" xfId="329" builtinId="9" hidden="1"/>
    <cellStyle name="Gevolgde hyperlink" xfId="331" builtinId="9" hidden="1"/>
    <cellStyle name="Gevolgde hyperlink" xfId="333" builtinId="9" hidden="1"/>
    <cellStyle name="Gevolgde hyperlink" xfId="335" builtinId="9" hidden="1"/>
    <cellStyle name="Gevolgde hyperlink" xfId="337" builtinId="9" hidden="1"/>
    <cellStyle name="Gevolgde hyperlink" xfId="339" builtinId="9" hidden="1"/>
    <cellStyle name="Gevolgde hyperlink" xfId="341" builtinId="9" hidden="1"/>
    <cellStyle name="Gevolgde hyperlink" xfId="343" builtinId="9" hidden="1"/>
    <cellStyle name="Gevolgde hyperlink" xfId="345" builtinId="9" hidden="1"/>
    <cellStyle name="Gevolgde hyperlink" xfId="347" builtinId="9" hidden="1"/>
    <cellStyle name="Gevolgde hyperlink" xfId="349" builtinId="9" hidden="1"/>
    <cellStyle name="Gevolgde hyperlink" xfId="351" builtinId="9" hidden="1"/>
    <cellStyle name="Gevolgde hyperlink" xfId="353" builtinId="9" hidden="1"/>
    <cellStyle name="Gevolgde hyperlink" xfId="355" builtinId="9" hidden="1"/>
    <cellStyle name="Gevolgde hyperlink" xfId="357" builtinId="9" hidden="1"/>
    <cellStyle name="Gevolgde hyperlink" xfId="359" builtinId="9" hidden="1"/>
    <cellStyle name="Gevolgde hyperlink" xfId="361" builtinId="9" hidden="1"/>
    <cellStyle name="Gevolgde hyperlink" xfId="363" builtinId="9" hidden="1"/>
    <cellStyle name="Gevolgde hyperlink" xfId="365" builtinId="9" hidden="1"/>
    <cellStyle name="Gevolgde hyperlink" xfId="367" builtinId="9" hidden="1"/>
    <cellStyle name="Gevolgde hyperlink" xfId="369" builtinId="9" hidden="1"/>
    <cellStyle name="Gevolgde hyperlink" xfId="371" builtinId="9" hidden="1"/>
    <cellStyle name="Gevolgde hyperlink" xfId="373" builtinId="9" hidden="1"/>
    <cellStyle name="Gevolgde hyperlink" xfId="375" builtinId="9" hidden="1"/>
    <cellStyle name="Gevolgde hyperlink" xfId="377" builtinId="9" hidden="1"/>
    <cellStyle name="Gevolgde hyperlink" xfId="379" builtinId="9" hidden="1"/>
    <cellStyle name="Gevolgde hyperlink" xfId="381" builtinId="9" hidden="1"/>
    <cellStyle name="Gevolgde hyperlink" xfId="383" builtinId="9" hidden="1"/>
    <cellStyle name="Gevolgde hyperlink" xfId="385" builtinId="9" hidden="1"/>
    <cellStyle name="Gevolgde hyperlink" xfId="387" builtinId="9" hidden="1"/>
    <cellStyle name="Gevolgde hyperlink" xfId="38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Normaal" xfId="0" builtinId="0"/>
    <cellStyle name="Pro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16933</xdr:colOff>
      <xdr:row>1</xdr:row>
      <xdr:rowOff>42332</xdr:rowOff>
    </xdr:from>
    <xdr:to>
      <xdr:col>3</xdr:col>
      <xdr:colOff>4219</xdr:colOff>
      <xdr:row>9</xdr:row>
      <xdr:rowOff>83265</xdr:rowOff>
    </xdr:to>
    <xdr:pic>
      <xdr:nvPicPr>
        <xdr:cNvPr id="2" name="Afbeelding 1" descr="ZPD_logo-metpayoff-01.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939" b="8698"/>
        <a:stretch/>
      </xdr:blipFill>
      <xdr:spPr>
        <a:xfrm>
          <a:off x="237066" y="228599"/>
          <a:ext cx="3611020" cy="1547999"/>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EB3E"/>
  </sheetPr>
  <dimension ref="A1:AE81"/>
  <sheetViews>
    <sheetView tabSelected="1" topLeftCell="A46" workbookViewId="0">
      <selection activeCell="C68" sqref="C68"/>
    </sheetView>
  </sheetViews>
  <sheetFormatPr baseColWidth="10" defaultColWidth="0" defaultRowHeight="15" zeroHeight="1" x14ac:dyDescent="0"/>
  <cols>
    <col min="1" max="1" width="2.83203125" style="64" customWidth="1"/>
    <col min="2" max="2" width="35.6640625" style="2" customWidth="1"/>
    <col min="3" max="3" width="11.6640625" style="2" customWidth="1"/>
    <col min="4" max="4" width="2.83203125" style="2" customWidth="1"/>
    <col min="5" max="5" width="53.83203125" style="2" bestFit="1" customWidth="1"/>
    <col min="6" max="6" width="11" style="2" bestFit="1" customWidth="1"/>
    <col min="7" max="30" width="10.83203125" style="2" customWidth="1"/>
    <col min="31" max="31" width="2.83203125" style="2" customWidth="1"/>
    <col min="32" max="16384" width="10.83203125" style="2" hidden="1"/>
  </cols>
  <sheetData>
    <row r="1" spans="1:31" s="60" customFormat="1">
      <c r="A1" s="58"/>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row>
    <row r="2" spans="1:31" ht="16" thickBot="1">
      <c r="A2" s="3"/>
      <c r="B2" s="56"/>
      <c r="C2" s="57"/>
      <c r="D2" s="1"/>
      <c r="E2" s="75" t="s">
        <v>24</v>
      </c>
      <c r="F2" s="76">
        <v>1</v>
      </c>
      <c r="G2" s="76">
        <v>2</v>
      </c>
      <c r="H2" s="76">
        <v>3</v>
      </c>
      <c r="I2" s="76">
        <v>4</v>
      </c>
      <c r="J2" s="76">
        <v>5</v>
      </c>
      <c r="K2" s="76">
        <v>6</v>
      </c>
      <c r="L2" s="76">
        <v>7</v>
      </c>
      <c r="M2" s="76">
        <v>8</v>
      </c>
      <c r="N2" s="76">
        <v>9</v>
      </c>
      <c r="O2" s="76">
        <v>10</v>
      </c>
      <c r="P2" s="76">
        <v>11</v>
      </c>
      <c r="Q2" s="76">
        <v>12</v>
      </c>
      <c r="R2" s="76">
        <v>13</v>
      </c>
      <c r="S2" s="76">
        <v>14</v>
      </c>
      <c r="T2" s="76">
        <v>15</v>
      </c>
      <c r="U2" s="76">
        <v>16</v>
      </c>
      <c r="V2" s="76">
        <v>17</v>
      </c>
      <c r="W2" s="76">
        <v>18</v>
      </c>
      <c r="X2" s="76">
        <v>19</v>
      </c>
      <c r="Y2" s="76">
        <v>20</v>
      </c>
      <c r="Z2" s="76">
        <v>21</v>
      </c>
      <c r="AA2" s="76">
        <v>22</v>
      </c>
      <c r="AB2" s="76">
        <v>23</v>
      </c>
      <c r="AC2" s="76">
        <v>24</v>
      </c>
      <c r="AD2" s="76">
        <v>25</v>
      </c>
      <c r="AE2" s="1"/>
    </row>
    <row r="3" spans="1:31">
      <c r="A3" s="3"/>
      <c r="B3" s="29"/>
      <c r="C3" s="54"/>
      <c r="D3" s="1"/>
      <c r="E3" s="74"/>
      <c r="F3" s="7"/>
      <c r="G3" s="1"/>
      <c r="H3" s="1"/>
      <c r="I3" s="1"/>
      <c r="J3" s="1"/>
      <c r="K3" s="1"/>
      <c r="L3" s="1"/>
      <c r="M3" s="1"/>
      <c r="N3" s="1"/>
      <c r="O3" s="1"/>
      <c r="P3" s="1"/>
      <c r="Q3" s="1"/>
      <c r="R3" s="1"/>
      <c r="S3" s="1"/>
      <c r="T3" s="1"/>
      <c r="U3" s="1"/>
      <c r="V3" s="1"/>
      <c r="W3" s="1"/>
      <c r="X3" s="1"/>
      <c r="Y3" s="1"/>
      <c r="Z3" s="1"/>
      <c r="AA3" s="1"/>
      <c r="AB3" s="1"/>
      <c r="AC3" s="1"/>
      <c r="AD3" s="1"/>
      <c r="AE3" s="1"/>
    </row>
    <row r="4" spans="1:31">
      <c r="A4" s="3"/>
      <c r="B4" s="29"/>
      <c r="C4" s="54"/>
      <c r="D4" s="1"/>
      <c r="E4" s="6" t="s">
        <v>0</v>
      </c>
      <c r="F4" s="19">
        <f>C26*C27</f>
        <v>45000</v>
      </c>
      <c r="G4" s="19">
        <f t="shared" ref="G4:AD4" si="0">F4*(1-$C$28)</f>
        <v>44775</v>
      </c>
      <c r="H4" s="19">
        <f t="shared" si="0"/>
        <v>44551.125</v>
      </c>
      <c r="I4" s="19">
        <f t="shared" si="0"/>
        <v>44328.369375000002</v>
      </c>
      <c r="J4" s="19">
        <f t="shared" si="0"/>
        <v>44106.727528125004</v>
      </c>
      <c r="K4" s="19">
        <f t="shared" si="0"/>
        <v>43886.193890484377</v>
      </c>
      <c r="L4" s="19">
        <f t="shared" si="0"/>
        <v>43666.762921031957</v>
      </c>
      <c r="M4" s="19">
        <f t="shared" si="0"/>
        <v>43448.429106426796</v>
      </c>
      <c r="N4" s="19">
        <f t="shared" si="0"/>
        <v>43231.186960894665</v>
      </c>
      <c r="O4" s="19">
        <f t="shared" si="0"/>
        <v>43015.03102609019</v>
      </c>
      <c r="P4" s="19">
        <f t="shared" si="0"/>
        <v>42799.95587095974</v>
      </c>
      <c r="Q4" s="19">
        <f t="shared" si="0"/>
        <v>42585.956091604945</v>
      </c>
      <c r="R4" s="19">
        <f t="shared" si="0"/>
        <v>42373.026311146918</v>
      </c>
      <c r="S4" s="19">
        <f t="shared" si="0"/>
        <v>42161.161179591181</v>
      </c>
      <c r="T4" s="19">
        <f t="shared" si="0"/>
        <v>41950.355373693223</v>
      </c>
      <c r="U4" s="19">
        <f t="shared" si="0"/>
        <v>41740.60359682476</v>
      </c>
      <c r="V4" s="19">
        <f t="shared" si="0"/>
        <v>41531.900578840636</v>
      </c>
      <c r="W4" s="19">
        <f t="shared" si="0"/>
        <v>41324.241075946433</v>
      </c>
      <c r="X4" s="19">
        <f t="shared" si="0"/>
        <v>41117.619870566698</v>
      </c>
      <c r="Y4" s="19">
        <f t="shared" si="0"/>
        <v>40912.031771213864</v>
      </c>
      <c r="Z4" s="19">
        <f t="shared" si="0"/>
        <v>40707.471612357796</v>
      </c>
      <c r="AA4" s="19">
        <f t="shared" si="0"/>
        <v>40503.934254296008</v>
      </c>
      <c r="AB4" s="19">
        <f t="shared" si="0"/>
        <v>40301.414583024525</v>
      </c>
      <c r="AC4" s="19">
        <f t="shared" si="0"/>
        <v>40099.907510109406</v>
      </c>
      <c r="AD4" s="19">
        <f t="shared" si="0"/>
        <v>39899.40797255886</v>
      </c>
      <c r="AE4" s="1"/>
    </row>
    <row r="5" spans="1:31">
      <c r="A5" s="3"/>
      <c r="B5" s="29"/>
      <c r="C5" s="54"/>
      <c r="D5" s="1"/>
      <c r="E5" s="1"/>
      <c r="F5" s="14"/>
      <c r="G5" s="14"/>
      <c r="H5" s="14"/>
      <c r="I5" s="14"/>
      <c r="J5" s="14"/>
      <c r="K5" s="14"/>
      <c r="L5" s="14"/>
      <c r="M5" s="14"/>
      <c r="N5" s="14"/>
      <c r="O5" s="14"/>
      <c r="P5" s="14"/>
      <c r="Q5" s="14"/>
      <c r="R5" s="14"/>
      <c r="S5" s="14"/>
      <c r="T5" s="14"/>
      <c r="U5" s="14"/>
      <c r="V5" s="14"/>
      <c r="W5" s="14"/>
      <c r="X5" s="14"/>
      <c r="Y5" s="14"/>
      <c r="Z5" s="14"/>
      <c r="AA5" s="14"/>
      <c r="AB5" s="14"/>
      <c r="AC5" s="14"/>
      <c r="AD5" s="14"/>
      <c r="AE5" s="1"/>
    </row>
    <row r="6" spans="1:31">
      <c r="A6" s="3"/>
      <c r="B6" s="29"/>
      <c r="C6" s="54"/>
      <c r="D6" s="1"/>
      <c r="E6" s="5" t="s">
        <v>8</v>
      </c>
      <c r="F6" s="14"/>
      <c r="G6" s="14"/>
      <c r="H6" s="14"/>
      <c r="I6" s="14"/>
      <c r="J6" s="14"/>
      <c r="K6" s="14"/>
      <c r="L6" s="14"/>
      <c r="M6" s="14"/>
      <c r="N6" s="14"/>
      <c r="O6" s="14"/>
      <c r="P6" s="14"/>
      <c r="Q6" s="14"/>
      <c r="R6" s="14"/>
      <c r="S6" s="14"/>
      <c r="T6" s="14"/>
      <c r="U6" s="14"/>
      <c r="V6" s="14"/>
      <c r="W6" s="14"/>
      <c r="X6" s="14"/>
      <c r="Y6" s="14"/>
      <c r="Z6" s="14"/>
      <c r="AA6" s="14"/>
      <c r="AB6" s="14"/>
      <c r="AC6" s="14"/>
      <c r="AD6" s="14"/>
      <c r="AE6" s="1"/>
    </row>
    <row r="7" spans="1:31">
      <c r="A7" s="3"/>
      <c r="B7" s="29"/>
      <c r="C7" s="54"/>
      <c r="D7" s="1"/>
      <c r="E7" s="8" t="s">
        <v>19</v>
      </c>
      <c r="F7" s="15">
        <f>F4*$C$41*((1+$C$68)^(F2-1))</f>
        <v>2340</v>
      </c>
      <c r="G7" s="15">
        <f>G4*$C$41*((1+$C$68)^(G2-1))</f>
        <v>2328.2999999999997</v>
      </c>
      <c r="H7" s="15">
        <f t="shared" ref="H7:AD7" si="1">H4*$C$41*((1+$C$68)^(H2-1))</f>
        <v>2316.6585</v>
      </c>
      <c r="I7" s="15">
        <f t="shared" si="1"/>
        <v>2305.0752075</v>
      </c>
      <c r="J7" s="15">
        <f t="shared" si="1"/>
        <v>2293.5498314625002</v>
      </c>
      <c r="K7" s="15">
        <f t="shared" si="1"/>
        <v>2282.0820823051877</v>
      </c>
      <c r="L7" s="15">
        <f t="shared" si="1"/>
        <v>2270.6716718936618</v>
      </c>
      <c r="M7" s="15">
        <f t="shared" si="1"/>
        <v>2259.3183135341933</v>
      </c>
      <c r="N7" s="15">
        <f t="shared" si="1"/>
        <v>2248.0217219665224</v>
      </c>
      <c r="O7" s="15">
        <f t="shared" si="1"/>
        <v>2236.7816133566898</v>
      </c>
      <c r="P7" s="15">
        <f t="shared" si="1"/>
        <v>2225.5977052899066</v>
      </c>
      <c r="Q7" s="15">
        <f t="shared" si="1"/>
        <v>2214.4697167634572</v>
      </c>
      <c r="R7" s="15">
        <f t="shared" si="1"/>
        <v>2203.3973681796397</v>
      </c>
      <c r="S7" s="15">
        <f t="shared" si="1"/>
        <v>2192.3803813387412</v>
      </c>
      <c r="T7" s="15">
        <f t="shared" si="1"/>
        <v>2181.4184794320477</v>
      </c>
      <c r="U7" s="15">
        <f t="shared" si="1"/>
        <v>2170.5113870348873</v>
      </c>
      <c r="V7" s="15">
        <f t="shared" si="1"/>
        <v>2159.6588300997128</v>
      </c>
      <c r="W7" s="15">
        <f t="shared" si="1"/>
        <v>2148.8605359492144</v>
      </c>
      <c r="X7" s="15">
        <f t="shared" si="1"/>
        <v>2138.116233269468</v>
      </c>
      <c r="Y7" s="15">
        <f t="shared" si="1"/>
        <v>2127.4256521031207</v>
      </c>
      <c r="Z7" s="15">
        <f t="shared" si="1"/>
        <v>2116.7885238426052</v>
      </c>
      <c r="AA7" s="15">
        <f t="shared" si="1"/>
        <v>2106.2045812233923</v>
      </c>
      <c r="AB7" s="15">
        <f t="shared" si="1"/>
        <v>2095.6735583172754</v>
      </c>
      <c r="AC7" s="15">
        <f t="shared" si="1"/>
        <v>2085.1951905256892</v>
      </c>
      <c r="AD7" s="15">
        <f t="shared" si="1"/>
        <v>2074.7692145730607</v>
      </c>
      <c r="AE7" s="1"/>
    </row>
    <row r="8" spans="1:31">
      <c r="A8" s="3"/>
      <c r="B8" s="29"/>
      <c r="C8" s="54"/>
      <c r="D8" s="1"/>
      <c r="E8" s="8" t="s">
        <v>20</v>
      </c>
      <c r="F8" s="15">
        <f t="shared" ref="F8:AD8" si="2">$C$42*$C$24</f>
        <v>0</v>
      </c>
      <c r="G8" s="15">
        <f t="shared" si="2"/>
        <v>0</v>
      </c>
      <c r="H8" s="15">
        <f t="shared" si="2"/>
        <v>0</v>
      </c>
      <c r="I8" s="15">
        <f t="shared" si="2"/>
        <v>0</v>
      </c>
      <c r="J8" s="15">
        <f t="shared" si="2"/>
        <v>0</v>
      </c>
      <c r="K8" s="15">
        <f t="shared" si="2"/>
        <v>0</v>
      </c>
      <c r="L8" s="15">
        <f t="shared" si="2"/>
        <v>0</v>
      </c>
      <c r="M8" s="15">
        <f t="shared" si="2"/>
        <v>0</v>
      </c>
      <c r="N8" s="15">
        <f t="shared" si="2"/>
        <v>0</v>
      </c>
      <c r="O8" s="15">
        <f t="shared" si="2"/>
        <v>0</v>
      </c>
      <c r="P8" s="15">
        <f t="shared" si="2"/>
        <v>0</v>
      </c>
      <c r="Q8" s="15">
        <f t="shared" si="2"/>
        <v>0</v>
      </c>
      <c r="R8" s="15">
        <f t="shared" si="2"/>
        <v>0</v>
      </c>
      <c r="S8" s="15">
        <f t="shared" si="2"/>
        <v>0</v>
      </c>
      <c r="T8" s="15">
        <f t="shared" si="2"/>
        <v>0</v>
      </c>
      <c r="U8" s="15">
        <f t="shared" si="2"/>
        <v>0</v>
      </c>
      <c r="V8" s="15">
        <f t="shared" si="2"/>
        <v>0</v>
      </c>
      <c r="W8" s="15">
        <f t="shared" si="2"/>
        <v>0</v>
      </c>
      <c r="X8" s="15">
        <f t="shared" si="2"/>
        <v>0</v>
      </c>
      <c r="Y8" s="15">
        <f t="shared" si="2"/>
        <v>0</v>
      </c>
      <c r="Z8" s="15">
        <f t="shared" si="2"/>
        <v>0</v>
      </c>
      <c r="AA8" s="15">
        <f t="shared" si="2"/>
        <v>0</v>
      </c>
      <c r="AB8" s="15">
        <f t="shared" si="2"/>
        <v>0</v>
      </c>
      <c r="AC8" s="15">
        <f t="shared" si="2"/>
        <v>0</v>
      </c>
      <c r="AD8" s="15">
        <f t="shared" si="2"/>
        <v>0</v>
      </c>
      <c r="AE8" s="1"/>
    </row>
    <row r="9" spans="1:31">
      <c r="A9" s="3"/>
      <c r="B9" s="29"/>
      <c r="C9" s="54"/>
      <c r="D9" s="1"/>
      <c r="E9" s="8" t="s">
        <v>21</v>
      </c>
      <c r="F9" s="16">
        <f t="shared" ref="F9:AD9" si="3">(F4/1000)*$C$43</f>
        <v>45</v>
      </c>
      <c r="G9" s="16">
        <f t="shared" si="3"/>
        <v>44.774999999999999</v>
      </c>
      <c r="H9" s="16">
        <f t="shared" si="3"/>
        <v>44.551124999999999</v>
      </c>
      <c r="I9" s="16">
        <f t="shared" si="3"/>
        <v>44.328369375000001</v>
      </c>
      <c r="J9" s="16">
        <f t="shared" si="3"/>
        <v>44.106727528125006</v>
      </c>
      <c r="K9" s="16">
        <f t="shared" si="3"/>
        <v>43.886193890484378</v>
      </c>
      <c r="L9" s="16">
        <f t="shared" si="3"/>
        <v>43.66676292103196</v>
      </c>
      <c r="M9" s="16">
        <f t="shared" si="3"/>
        <v>43.448429106426794</v>
      </c>
      <c r="N9" s="16">
        <f t="shared" si="3"/>
        <v>43.231186960894668</v>
      </c>
      <c r="O9" s="16">
        <f t="shared" si="3"/>
        <v>43.015031026090192</v>
      </c>
      <c r="P9" s="16">
        <f t="shared" si="3"/>
        <v>42.799955870959742</v>
      </c>
      <c r="Q9" s="16">
        <f t="shared" si="3"/>
        <v>42.585956091604942</v>
      </c>
      <c r="R9" s="16">
        <f t="shared" si="3"/>
        <v>42.373026311146916</v>
      </c>
      <c r="S9" s="16">
        <f t="shared" si="3"/>
        <v>42.161161179591183</v>
      </c>
      <c r="T9" s="16">
        <f t="shared" si="3"/>
        <v>41.95035537369322</v>
      </c>
      <c r="U9" s="16">
        <f t="shared" si="3"/>
        <v>41.740603596824762</v>
      </c>
      <c r="V9" s="16">
        <f t="shared" si="3"/>
        <v>41.531900578840634</v>
      </c>
      <c r="W9" s="16">
        <f t="shared" si="3"/>
        <v>41.324241075946432</v>
      </c>
      <c r="X9" s="16">
        <f t="shared" si="3"/>
        <v>41.117619870566699</v>
      </c>
      <c r="Y9" s="16">
        <f t="shared" si="3"/>
        <v>40.912031771213861</v>
      </c>
      <c r="Z9" s="16">
        <f t="shared" si="3"/>
        <v>40.707471612357793</v>
      </c>
      <c r="AA9" s="16">
        <f t="shared" si="3"/>
        <v>40.503934254296006</v>
      </c>
      <c r="AB9" s="16">
        <f t="shared" si="3"/>
        <v>40.301414583024524</v>
      </c>
      <c r="AC9" s="16">
        <f t="shared" si="3"/>
        <v>40.099907510109404</v>
      </c>
      <c r="AD9" s="16">
        <f t="shared" si="3"/>
        <v>39.899407972558862</v>
      </c>
      <c r="AE9" s="1"/>
    </row>
    <row r="10" spans="1:31">
      <c r="A10" s="3"/>
      <c r="B10" s="29"/>
      <c r="C10" s="54"/>
      <c r="D10" s="1"/>
      <c r="E10" s="9" t="s">
        <v>9</v>
      </c>
      <c r="F10" s="17">
        <f>F9+F8+F7</f>
        <v>2385</v>
      </c>
      <c r="G10" s="17">
        <f t="shared" ref="G10:AD10" si="4">G9+G8+G7</f>
        <v>2373.0749999999998</v>
      </c>
      <c r="H10" s="17">
        <f t="shared" si="4"/>
        <v>2361.209625</v>
      </c>
      <c r="I10" s="17">
        <f t="shared" si="4"/>
        <v>2349.403576875</v>
      </c>
      <c r="J10" s="17">
        <f t="shared" si="4"/>
        <v>2337.6565589906249</v>
      </c>
      <c r="K10" s="17">
        <f t="shared" si="4"/>
        <v>2325.9682761956719</v>
      </c>
      <c r="L10" s="17">
        <f t="shared" si="4"/>
        <v>2314.3384348146938</v>
      </c>
      <c r="M10" s="17">
        <f t="shared" si="4"/>
        <v>2302.7667426406201</v>
      </c>
      <c r="N10" s="17">
        <f t="shared" si="4"/>
        <v>2291.2529089274171</v>
      </c>
      <c r="O10" s="17">
        <f t="shared" si="4"/>
        <v>2279.79664438278</v>
      </c>
      <c r="P10" s="17">
        <f t="shared" si="4"/>
        <v>2268.3976611608664</v>
      </c>
      <c r="Q10" s="17">
        <f t="shared" si="4"/>
        <v>2257.0556728550623</v>
      </c>
      <c r="R10" s="17">
        <f t="shared" si="4"/>
        <v>2245.7703944907867</v>
      </c>
      <c r="S10" s="17">
        <f t="shared" si="4"/>
        <v>2234.5415425183323</v>
      </c>
      <c r="T10" s="17">
        <f t="shared" si="4"/>
        <v>2223.3688348057408</v>
      </c>
      <c r="U10" s="17">
        <f t="shared" si="4"/>
        <v>2212.251990631712</v>
      </c>
      <c r="V10" s="17">
        <f t="shared" si="4"/>
        <v>2201.1907306785533</v>
      </c>
      <c r="W10" s="17">
        <f t="shared" si="4"/>
        <v>2190.1847770251607</v>
      </c>
      <c r="X10" s="17">
        <f t="shared" si="4"/>
        <v>2179.2338531400346</v>
      </c>
      <c r="Y10" s="17">
        <f t="shared" si="4"/>
        <v>2168.3376838743347</v>
      </c>
      <c r="Z10" s="17">
        <f t="shared" si="4"/>
        <v>2157.4959954549631</v>
      </c>
      <c r="AA10" s="17">
        <f t="shared" si="4"/>
        <v>2146.7085154776883</v>
      </c>
      <c r="AB10" s="17">
        <f t="shared" si="4"/>
        <v>2135.9749729002997</v>
      </c>
      <c r="AC10" s="17">
        <f t="shared" si="4"/>
        <v>2125.2950980357987</v>
      </c>
      <c r="AD10" s="17">
        <f t="shared" si="4"/>
        <v>2114.6686225456197</v>
      </c>
      <c r="AE10" s="1"/>
    </row>
    <row r="11" spans="1:31" ht="14" customHeight="1">
      <c r="A11" s="3"/>
      <c r="B11" s="81" t="s">
        <v>82</v>
      </c>
      <c r="C11" s="82"/>
      <c r="D11" s="1"/>
      <c r="E11" s="10"/>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
    </row>
    <row r="12" spans="1:31">
      <c r="A12" s="3"/>
      <c r="B12" s="81"/>
      <c r="C12" s="82"/>
      <c r="D12" s="1"/>
      <c r="E12" s="5" t="s">
        <v>10</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
    </row>
    <row r="13" spans="1:31">
      <c r="A13" s="3"/>
      <c r="B13" s="69"/>
      <c r="C13" s="70"/>
      <c r="D13" s="1"/>
      <c r="E13" s="8" t="s">
        <v>32</v>
      </c>
      <c r="F13" s="15">
        <f>C24*C72</f>
        <v>70000</v>
      </c>
      <c r="G13" s="15">
        <v>0</v>
      </c>
      <c r="H13" s="15">
        <v>0</v>
      </c>
      <c r="I13" s="15">
        <v>0</v>
      </c>
      <c r="J13" s="15">
        <v>0</v>
      </c>
      <c r="K13" s="15">
        <v>0</v>
      </c>
      <c r="L13" s="15">
        <v>0</v>
      </c>
      <c r="M13" s="15">
        <v>0</v>
      </c>
      <c r="N13" s="15">
        <v>0</v>
      </c>
      <c r="O13" s="15">
        <v>0</v>
      </c>
      <c r="P13" s="15">
        <v>0</v>
      </c>
      <c r="Q13" s="15">
        <v>0</v>
      </c>
      <c r="R13" s="15">
        <v>0</v>
      </c>
      <c r="S13" s="15">
        <v>0</v>
      </c>
      <c r="T13" s="15">
        <v>0</v>
      </c>
      <c r="U13" s="15">
        <v>0</v>
      </c>
      <c r="V13" s="15">
        <v>0</v>
      </c>
      <c r="W13" s="15">
        <v>0</v>
      </c>
      <c r="X13" s="15">
        <v>0</v>
      </c>
      <c r="Y13" s="15">
        <v>0</v>
      </c>
      <c r="Z13" s="15">
        <v>0</v>
      </c>
      <c r="AA13" s="15">
        <v>0</v>
      </c>
      <c r="AB13" s="15">
        <v>0</v>
      </c>
      <c r="AC13" s="15">
        <v>0</v>
      </c>
      <c r="AD13" s="15">
        <v>0</v>
      </c>
      <c r="AE13" s="1"/>
    </row>
    <row r="14" spans="1:31">
      <c r="A14" s="3"/>
      <c r="B14" s="65" t="s">
        <v>77</v>
      </c>
      <c r="C14" s="54"/>
      <c r="D14" s="1"/>
      <c r="E14" s="8" t="s">
        <v>6</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0</v>
      </c>
      <c r="AD14" s="15">
        <v>0</v>
      </c>
      <c r="AE14" s="1"/>
    </row>
    <row r="15" spans="1:31">
      <c r="A15" s="3"/>
      <c r="B15" s="65" t="s">
        <v>87</v>
      </c>
      <c r="C15" s="54"/>
      <c r="D15" s="1"/>
      <c r="E15" s="8" t="s">
        <v>22</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
    </row>
    <row r="16" spans="1:31">
      <c r="A16" s="3"/>
      <c r="B16" s="65" t="s">
        <v>88</v>
      </c>
      <c r="C16" s="54"/>
      <c r="D16" s="1"/>
      <c r="E16" s="20" t="s">
        <v>11</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
    </row>
    <row r="17" spans="1:31">
      <c r="A17" s="3"/>
      <c r="B17" s="65" t="s">
        <v>78</v>
      </c>
      <c r="C17" s="54"/>
      <c r="D17" s="1"/>
      <c r="E17" s="11" t="s">
        <v>9</v>
      </c>
      <c r="F17" s="15">
        <f>F16+F15+F14+F13</f>
        <v>70000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
    </row>
    <row r="18" spans="1:31">
      <c r="A18" s="3"/>
      <c r="B18" s="65" t="s">
        <v>80</v>
      </c>
      <c r="C18" s="54"/>
      <c r="D18" s="1"/>
      <c r="E18" s="12"/>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
    </row>
    <row r="19" spans="1:31">
      <c r="A19" s="3"/>
      <c r="B19" s="30"/>
      <c r="C19" s="51"/>
      <c r="D19" s="1"/>
      <c r="E19" s="5" t="s">
        <v>12</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
    </row>
    <row r="20" spans="1:31">
      <c r="A20" s="3"/>
      <c r="B20" s="1"/>
      <c r="C20" s="1"/>
      <c r="D20" s="1"/>
      <c r="E20" s="8" t="s">
        <v>26</v>
      </c>
      <c r="F20" s="15">
        <f t="shared" ref="F20:AD20" si="5">F30*-$C$65</f>
        <v>14971.0638</v>
      </c>
      <c r="G20" s="15">
        <f t="shared" si="5"/>
        <v>0</v>
      </c>
      <c r="H20" s="15">
        <f t="shared" si="5"/>
        <v>0</v>
      </c>
      <c r="I20" s="15">
        <f t="shared" si="5"/>
        <v>0</v>
      </c>
      <c r="J20" s="15">
        <f t="shared" si="5"/>
        <v>0</v>
      </c>
      <c r="K20" s="15">
        <f t="shared" si="5"/>
        <v>0</v>
      </c>
      <c r="L20" s="15">
        <f t="shared" si="5"/>
        <v>0</v>
      </c>
      <c r="M20" s="15">
        <f t="shared" si="5"/>
        <v>0</v>
      </c>
      <c r="N20" s="15">
        <f t="shared" si="5"/>
        <v>0</v>
      </c>
      <c r="O20" s="15">
        <f t="shared" si="5"/>
        <v>0</v>
      </c>
      <c r="P20" s="15">
        <f t="shared" si="5"/>
        <v>0</v>
      </c>
      <c r="Q20" s="15">
        <f t="shared" si="5"/>
        <v>0</v>
      </c>
      <c r="R20" s="15">
        <f t="shared" si="5"/>
        <v>0</v>
      </c>
      <c r="S20" s="15">
        <f t="shared" si="5"/>
        <v>0</v>
      </c>
      <c r="T20" s="15">
        <f t="shared" si="5"/>
        <v>0</v>
      </c>
      <c r="U20" s="15">
        <f t="shared" si="5"/>
        <v>2625</v>
      </c>
      <c r="V20" s="15">
        <f t="shared" si="5"/>
        <v>0</v>
      </c>
      <c r="W20" s="15">
        <f t="shared" si="5"/>
        <v>0</v>
      </c>
      <c r="X20" s="15">
        <f t="shared" si="5"/>
        <v>0</v>
      </c>
      <c r="Y20" s="15">
        <f t="shared" si="5"/>
        <v>0</v>
      </c>
      <c r="Z20" s="15">
        <f t="shared" si="5"/>
        <v>0</v>
      </c>
      <c r="AA20" s="15">
        <f t="shared" si="5"/>
        <v>0</v>
      </c>
      <c r="AB20" s="15">
        <f t="shared" si="5"/>
        <v>0</v>
      </c>
      <c r="AC20" s="15">
        <f t="shared" si="5"/>
        <v>0</v>
      </c>
      <c r="AD20" s="15">
        <f t="shared" si="5"/>
        <v>0</v>
      </c>
      <c r="AE20" s="1"/>
    </row>
    <row r="21" spans="1:31" ht="16" thickBot="1">
      <c r="A21" s="3"/>
      <c r="B21" s="79" t="s">
        <v>31</v>
      </c>
      <c r="C21" s="80"/>
      <c r="D21" s="1"/>
      <c r="E21" s="20" t="s">
        <v>25</v>
      </c>
      <c r="F21" s="16">
        <f t="shared" ref="F21:AD21" si="6">(F34+F35+F36)*-$C$65</f>
        <v>1155</v>
      </c>
      <c r="G21" s="16">
        <f t="shared" si="6"/>
        <v>0</v>
      </c>
      <c r="H21" s="16">
        <f t="shared" si="6"/>
        <v>0</v>
      </c>
      <c r="I21" s="16">
        <f t="shared" si="6"/>
        <v>0</v>
      </c>
      <c r="J21" s="16">
        <f t="shared" si="6"/>
        <v>0</v>
      </c>
      <c r="K21" s="16">
        <f t="shared" si="6"/>
        <v>0</v>
      </c>
      <c r="L21" s="16">
        <f t="shared" si="6"/>
        <v>0</v>
      </c>
      <c r="M21" s="16">
        <f t="shared" si="6"/>
        <v>0</v>
      </c>
      <c r="N21" s="16">
        <f t="shared" si="6"/>
        <v>0</v>
      </c>
      <c r="O21" s="16">
        <f t="shared" si="6"/>
        <v>0</v>
      </c>
      <c r="P21" s="16">
        <f t="shared" si="6"/>
        <v>0</v>
      </c>
      <c r="Q21" s="16">
        <f t="shared" si="6"/>
        <v>0</v>
      </c>
      <c r="R21" s="16">
        <f t="shared" si="6"/>
        <v>0</v>
      </c>
      <c r="S21" s="16">
        <f t="shared" si="6"/>
        <v>0</v>
      </c>
      <c r="T21" s="16">
        <f t="shared" si="6"/>
        <v>0</v>
      </c>
      <c r="U21" s="16">
        <f t="shared" si="6"/>
        <v>0</v>
      </c>
      <c r="V21" s="16">
        <f t="shared" si="6"/>
        <v>0</v>
      </c>
      <c r="W21" s="16">
        <f t="shared" si="6"/>
        <v>0</v>
      </c>
      <c r="X21" s="16">
        <f t="shared" si="6"/>
        <v>0</v>
      </c>
      <c r="Y21" s="16">
        <f t="shared" si="6"/>
        <v>0</v>
      </c>
      <c r="Z21" s="16">
        <f t="shared" si="6"/>
        <v>0</v>
      </c>
      <c r="AA21" s="16">
        <f t="shared" si="6"/>
        <v>0</v>
      </c>
      <c r="AB21" s="16">
        <f t="shared" si="6"/>
        <v>0</v>
      </c>
      <c r="AC21" s="16">
        <f t="shared" si="6"/>
        <v>0</v>
      </c>
      <c r="AD21" s="16">
        <f t="shared" si="6"/>
        <v>0</v>
      </c>
      <c r="AE21" s="1"/>
    </row>
    <row r="22" spans="1:31">
      <c r="A22" s="3"/>
      <c r="B22" s="32"/>
      <c r="C22" s="33"/>
      <c r="D22" s="29"/>
      <c r="E22" s="11" t="s">
        <v>9</v>
      </c>
      <c r="F22" s="15">
        <f>F21+F20</f>
        <v>16126.0638</v>
      </c>
      <c r="G22" s="18">
        <f t="shared" ref="G22:AD22" si="7">G21+G20</f>
        <v>0</v>
      </c>
      <c r="H22" s="15">
        <f t="shared" si="7"/>
        <v>0</v>
      </c>
      <c r="I22" s="15">
        <f t="shared" si="7"/>
        <v>0</v>
      </c>
      <c r="J22" s="15">
        <f t="shared" si="7"/>
        <v>0</v>
      </c>
      <c r="K22" s="15">
        <f t="shared" si="7"/>
        <v>0</v>
      </c>
      <c r="L22" s="15">
        <f t="shared" si="7"/>
        <v>0</v>
      </c>
      <c r="M22" s="15">
        <f t="shared" si="7"/>
        <v>0</v>
      </c>
      <c r="N22" s="15">
        <f t="shared" si="7"/>
        <v>0</v>
      </c>
      <c r="O22" s="15">
        <f t="shared" si="7"/>
        <v>0</v>
      </c>
      <c r="P22" s="15">
        <f t="shared" si="7"/>
        <v>0</v>
      </c>
      <c r="Q22" s="15">
        <f t="shared" si="7"/>
        <v>0</v>
      </c>
      <c r="R22" s="15">
        <f t="shared" si="7"/>
        <v>0</v>
      </c>
      <c r="S22" s="15">
        <f t="shared" si="7"/>
        <v>0</v>
      </c>
      <c r="T22" s="15">
        <f t="shared" si="7"/>
        <v>0</v>
      </c>
      <c r="U22" s="15">
        <f t="shared" si="7"/>
        <v>2625</v>
      </c>
      <c r="V22" s="15">
        <f t="shared" si="7"/>
        <v>0</v>
      </c>
      <c r="W22" s="15">
        <f t="shared" si="7"/>
        <v>0</v>
      </c>
      <c r="X22" s="15">
        <f t="shared" si="7"/>
        <v>0</v>
      </c>
      <c r="Y22" s="15">
        <f t="shared" si="7"/>
        <v>0</v>
      </c>
      <c r="Z22" s="15">
        <f t="shared" si="7"/>
        <v>0</v>
      </c>
      <c r="AA22" s="15">
        <f t="shared" si="7"/>
        <v>0</v>
      </c>
      <c r="AB22" s="15">
        <f t="shared" si="7"/>
        <v>0</v>
      </c>
      <c r="AC22" s="15">
        <f t="shared" si="7"/>
        <v>0</v>
      </c>
      <c r="AD22" s="15">
        <f t="shared" si="7"/>
        <v>0</v>
      </c>
      <c r="AE22" s="1"/>
    </row>
    <row r="23" spans="1:31">
      <c r="A23" s="3"/>
      <c r="B23" s="34" t="s">
        <v>51</v>
      </c>
      <c r="C23" s="35"/>
      <c r="D23" s="1"/>
      <c r="E23" s="12"/>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
    </row>
    <row r="24" spans="1:31">
      <c r="A24" s="3"/>
      <c r="B24" s="36" t="s">
        <v>4</v>
      </c>
      <c r="C24" s="35">
        <v>200</v>
      </c>
      <c r="D24" s="1"/>
      <c r="E24" s="27" t="s">
        <v>13</v>
      </c>
      <c r="F24" s="19">
        <f t="shared" ref="F24:AD24" si="8">F22+F17+F10</f>
        <v>88511.063800000004</v>
      </c>
      <c r="G24" s="19">
        <f t="shared" si="8"/>
        <v>2373.0749999999998</v>
      </c>
      <c r="H24" s="19">
        <f t="shared" si="8"/>
        <v>2361.209625</v>
      </c>
      <c r="I24" s="19">
        <f t="shared" si="8"/>
        <v>2349.403576875</v>
      </c>
      <c r="J24" s="19">
        <f t="shared" si="8"/>
        <v>2337.6565589906249</v>
      </c>
      <c r="K24" s="19">
        <f t="shared" si="8"/>
        <v>2325.9682761956719</v>
      </c>
      <c r="L24" s="19">
        <f t="shared" si="8"/>
        <v>2314.3384348146938</v>
      </c>
      <c r="M24" s="19">
        <f t="shared" si="8"/>
        <v>2302.7667426406201</v>
      </c>
      <c r="N24" s="19">
        <f t="shared" si="8"/>
        <v>2291.2529089274171</v>
      </c>
      <c r="O24" s="19">
        <f t="shared" si="8"/>
        <v>2279.79664438278</v>
      </c>
      <c r="P24" s="19">
        <f t="shared" si="8"/>
        <v>2268.3976611608664</v>
      </c>
      <c r="Q24" s="19">
        <f t="shared" si="8"/>
        <v>2257.0556728550623</v>
      </c>
      <c r="R24" s="19">
        <f t="shared" si="8"/>
        <v>2245.7703944907867</v>
      </c>
      <c r="S24" s="19">
        <f t="shared" si="8"/>
        <v>2234.5415425183323</v>
      </c>
      <c r="T24" s="19">
        <f t="shared" si="8"/>
        <v>2223.3688348057408</v>
      </c>
      <c r="U24" s="19">
        <f t="shared" si="8"/>
        <v>4837.251990631712</v>
      </c>
      <c r="V24" s="19">
        <f t="shared" si="8"/>
        <v>2201.1907306785533</v>
      </c>
      <c r="W24" s="19">
        <f t="shared" si="8"/>
        <v>2190.1847770251607</v>
      </c>
      <c r="X24" s="19">
        <f t="shared" si="8"/>
        <v>2179.2338531400346</v>
      </c>
      <c r="Y24" s="19">
        <f t="shared" si="8"/>
        <v>2168.3376838743347</v>
      </c>
      <c r="Z24" s="19">
        <f t="shared" si="8"/>
        <v>2157.4959954549631</v>
      </c>
      <c r="AA24" s="19">
        <f t="shared" si="8"/>
        <v>2146.7085154776883</v>
      </c>
      <c r="AB24" s="19">
        <f t="shared" si="8"/>
        <v>2135.9749729002997</v>
      </c>
      <c r="AC24" s="19">
        <f t="shared" si="8"/>
        <v>2125.2950980357987</v>
      </c>
      <c r="AD24" s="19">
        <f t="shared" si="8"/>
        <v>2114.6686225456197</v>
      </c>
      <c r="AE24" s="1"/>
    </row>
    <row r="25" spans="1:31">
      <c r="A25" s="3"/>
      <c r="B25" s="36" t="s">
        <v>5</v>
      </c>
      <c r="C25" s="35">
        <v>250</v>
      </c>
      <c r="D25" s="1"/>
      <c r="E25" s="12"/>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
    </row>
    <row r="26" spans="1:31">
      <c r="A26" s="3"/>
      <c r="B26" s="36" t="s">
        <v>1</v>
      </c>
      <c r="C26" s="35">
        <f>(C25*C24)/1000</f>
        <v>50</v>
      </c>
      <c r="D26" s="1"/>
      <c r="E26" s="5" t="s">
        <v>49</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
    </row>
    <row r="27" spans="1:31">
      <c r="A27" s="3"/>
      <c r="B27" s="36" t="s">
        <v>2</v>
      </c>
      <c r="C27" s="35">
        <v>900</v>
      </c>
      <c r="D27" s="1"/>
      <c r="E27" s="8" t="s">
        <v>50</v>
      </c>
      <c r="F27" s="15">
        <f>-C26*C29*1000</f>
        <v>-69575</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
    </row>
    <row r="28" spans="1:31">
      <c r="A28" s="3"/>
      <c r="B28" s="36" t="s">
        <v>79</v>
      </c>
      <c r="C28" s="37">
        <v>5.0000000000000001E-3</v>
      </c>
      <c r="D28" s="1"/>
      <c r="E28" s="8" t="s">
        <v>58</v>
      </c>
      <c r="F28" s="15">
        <f>-C32</f>
        <v>-1715.78</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
    </row>
    <row r="29" spans="1:31">
      <c r="A29" s="3"/>
      <c r="B29" s="36" t="s">
        <v>3</v>
      </c>
      <c r="C29" s="38">
        <f>1.15*(1+C65)</f>
        <v>1.3915</v>
      </c>
      <c r="D29" s="1"/>
      <c r="E29" s="20" t="s">
        <v>55</v>
      </c>
      <c r="F29" s="16">
        <v>0</v>
      </c>
      <c r="G29" s="16">
        <v>0</v>
      </c>
      <c r="H29" s="16">
        <v>0</v>
      </c>
      <c r="I29" s="16">
        <v>0</v>
      </c>
      <c r="J29" s="16">
        <v>0</v>
      </c>
      <c r="K29" s="16">
        <v>0</v>
      </c>
      <c r="L29" s="16">
        <v>0</v>
      </c>
      <c r="M29" s="16">
        <v>0</v>
      </c>
      <c r="N29" s="16">
        <v>0</v>
      </c>
      <c r="O29" s="16">
        <v>0</v>
      </c>
      <c r="P29" s="16">
        <v>0</v>
      </c>
      <c r="Q29" s="16">
        <v>0</v>
      </c>
      <c r="R29" s="16">
        <v>0</v>
      </c>
      <c r="S29" s="16">
        <v>0</v>
      </c>
      <c r="T29" s="16">
        <v>0</v>
      </c>
      <c r="U29" s="16">
        <f>-C35</f>
        <v>-12500</v>
      </c>
      <c r="V29" s="16">
        <v>0</v>
      </c>
      <c r="W29" s="16">
        <v>0</v>
      </c>
      <c r="X29" s="16">
        <v>0</v>
      </c>
      <c r="Y29" s="16">
        <v>0</v>
      </c>
      <c r="Z29" s="16">
        <v>0</v>
      </c>
      <c r="AA29" s="16">
        <v>0</v>
      </c>
      <c r="AB29" s="16">
        <v>0</v>
      </c>
      <c r="AC29" s="16">
        <v>0</v>
      </c>
      <c r="AD29" s="16">
        <v>0</v>
      </c>
      <c r="AE29" s="1"/>
    </row>
    <row r="30" spans="1:31">
      <c r="A30" s="3"/>
      <c r="B30" s="39"/>
      <c r="C30" s="40"/>
      <c r="D30" s="1"/>
      <c r="E30" s="21" t="s">
        <v>9</v>
      </c>
      <c r="F30" s="17">
        <f>F29+F28+F27</f>
        <v>-71290.78</v>
      </c>
      <c r="G30" s="17">
        <f t="shared" ref="G30:AD30" si="9">G29+G28+G27</f>
        <v>0</v>
      </c>
      <c r="H30" s="17">
        <f t="shared" si="9"/>
        <v>0</v>
      </c>
      <c r="I30" s="17">
        <f t="shared" si="9"/>
        <v>0</v>
      </c>
      <c r="J30" s="17">
        <f t="shared" si="9"/>
        <v>0</v>
      </c>
      <c r="K30" s="17">
        <f t="shared" si="9"/>
        <v>0</v>
      </c>
      <c r="L30" s="17">
        <f t="shared" si="9"/>
        <v>0</v>
      </c>
      <c r="M30" s="17">
        <f t="shared" si="9"/>
        <v>0</v>
      </c>
      <c r="N30" s="17">
        <f t="shared" si="9"/>
        <v>0</v>
      </c>
      <c r="O30" s="17">
        <f t="shared" si="9"/>
        <v>0</v>
      </c>
      <c r="P30" s="17">
        <f t="shared" si="9"/>
        <v>0</v>
      </c>
      <c r="Q30" s="17">
        <f t="shared" si="9"/>
        <v>0</v>
      </c>
      <c r="R30" s="17">
        <f t="shared" si="9"/>
        <v>0</v>
      </c>
      <c r="S30" s="17">
        <f t="shared" si="9"/>
        <v>0</v>
      </c>
      <c r="T30" s="17">
        <f t="shared" si="9"/>
        <v>0</v>
      </c>
      <c r="U30" s="17">
        <f t="shared" si="9"/>
        <v>-12500</v>
      </c>
      <c r="V30" s="17">
        <f t="shared" si="9"/>
        <v>0</v>
      </c>
      <c r="W30" s="17">
        <f t="shared" si="9"/>
        <v>0</v>
      </c>
      <c r="X30" s="17">
        <f t="shared" si="9"/>
        <v>0</v>
      </c>
      <c r="Y30" s="17">
        <f t="shared" si="9"/>
        <v>0</v>
      </c>
      <c r="Z30" s="17">
        <f t="shared" si="9"/>
        <v>0</v>
      </c>
      <c r="AA30" s="17">
        <f t="shared" si="9"/>
        <v>0</v>
      </c>
      <c r="AB30" s="17">
        <f t="shared" si="9"/>
        <v>0</v>
      </c>
      <c r="AC30" s="17">
        <f t="shared" si="9"/>
        <v>0</v>
      </c>
      <c r="AD30" s="17">
        <f t="shared" si="9"/>
        <v>0</v>
      </c>
      <c r="AE30" s="1"/>
    </row>
    <row r="31" spans="1:31">
      <c r="A31" s="3"/>
      <c r="B31" s="34" t="s">
        <v>63</v>
      </c>
      <c r="C31" s="33"/>
      <c r="D31" s="1"/>
      <c r="E31" s="12"/>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
    </row>
    <row r="32" spans="1:31">
      <c r="A32" s="3"/>
      <c r="B32" s="36" t="s">
        <v>59</v>
      </c>
      <c r="C32" s="41">
        <f>(950+20*23.4)*(1+C65)</f>
        <v>1715.78</v>
      </c>
      <c r="D32" s="1"/>
      <c r="E32" s="5" t="s">
        <v>14</v>
      </c>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 r="A33" s="3"/>
      <c r="B33" s="32"/>
      <c r="C33" s="33"/>
      <c r="D33" s="1"/>
      <c r="E33" s="8" t="s">
        <v>23</v>
      </c>
      <c r="F33" s="25"/>
      <c r="G33" s="25">
        <f t="shared" ref="G33:AD33" si="10">G34+G35+G36</f>
        <v>0</v>
      </c>
      <c r="H33" s="25">
        <f t="shared" si="10"/>
        <v>0</v>
      </c>
      <c r="I33" s="25">
        <f t="shared" si="10"/>
        <v>0</v>
      </c>
      <c r="J33" s="25">
        <f t="shared" si="10"/>
        <v>0</v>
      </c>
      <c r="K33" s="25">
        <f t="shared" si="10"/>
        <v>0</v>
      </c>
      <c r="L33" s="25">
        <f t="shared" si="10"/>
        <v>0</v>
      </c>
      <c r="M33" s="25">
        <f t="shared" si="10"/>
        <v>0</v>
      </c>
      <c r="N33" s="25">
        <f t="shared" si="10"/>
        <v>0</v>
      </c>
      <c r="O33" s="25">
        <f t="shared" si="10"/>
        <v>0</v>
      </c>
      <c r="P33" s="25">
        <f t="shared" si="10"/>
        <v>0</v>
      </c>
      <c r="Q33" s="25">
        <f t="shared" si="10"/>
        <v>0</v>
      </c>
      <c r="R33" s="25">
        <f t="shared" si="10"/>
        <v>0</v>
      </c>
      <c r="S33" s="25">
        <f t="shared" si="10"/>
        <v>0</v>
      </c>
      <c r="T33" s="25">
        <f t="shared" si="10"/>
        <v>0</v>
      </c>
      <c r="U33" s="25">
        <f t="shared" si="10"/>
        <v>0</v>
      </c>
      <c r="V33" s="25">
        <f t="shared" si="10"/>
        <v>0</v>
      </c>
      <c r="W33" s="25">
        <f t="shared" si="10"/>
        <v>0</v>
      </c>
      <c r="X33" s="25">
        <f t="shared" si="10"/>
        <v>0</v>
      </c>
      <c r="Y33" s="25">
        <f t="shared" si="10"/>
        <v>0</v>
      </c>
      <c r="Z33" s="25">
        <f t="shared" si="10"/>
        <v>0</v>
      </c>
      <c r="AA33" s="25">
        <f t="shared" si="10"/>
        <v>0</v>
      </c>
      <c r="AB33" s="25">
        <f t="shared" si="10"/>
        <v>0</v>
      </c>
      <c r="AC33" s="25">
        <f t="shared" si="10"/>
        <v>0</v>
      </c>
      <c r="AD33" s="25">
        <f t="shared" si="10"/>
        <v>0</v>
      </c>
      <c r="AE33" s="1"/>
    </row>
    <row r="34" spans="1:31">
      <c r="A34" s="3"/>
      <c r="B34" s="34" t="s">
        <v>61</v>
      </c>
      <c r="C34" s="33"/>
      <c r="D34" s="1"/>
      <c r="E34" s="4" t="s">
        <v>27</v>
      </c>
      <c r="F34" s="22">
        <f>-C46*F13</f>
        <v>-3500</v>
      </c>
      <c r="G34" s="22">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1"/>
    </row>
    <row r="35" spans="1:31">
      <c r="A35" s="3"/>
      <c r="B35" s="36" t="s">
        <v>62</v>
      </c>
      <c r="C35" s="42">
        <f>C26*0.25*1000</f>
        <v>12500</v>
      </c>
      <c r="D35" s="1"/>
      <c r="E35" s="4" t="s">
        <v>28</v>
      </c>
      <c r="F35" s="22">
        <f>-C47</f>
        <v>-1000</v>
      </c>
      <c r="G35" s="22">
        <v>0</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1"/>
    </row>
    <row r="36" spans="1:31">
      <c r="A36" s="3"/>
      <c r="B36" s="32"/>
      <c r="C36" s="33"/>
      <c r="D36" s="1"/>
      <c r="E36" s="4" t="s">
        <v>30</v>
      </c>
      <c r="F36" s="22">
        <f>-C48</f>
        <v>-1000</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1"/>
    </row>
    <row r="37" spans="1:31">
      <c r="A37" s="3"/>
      <c r="B37" s="34" t="s">
        <v>54</v>
      </c>
      <c r="C37" s="33"/>
      <c r="D37" s="1"/>
      <c r="E37" s="8" t="s">
        <v>15</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
    </row>
    <row r="38" spans="1:31">
      <c r="A38" s="3"/>
      <c r="B38" s="36" t="s">
        <v>56</v>
      </c>
      <c r="C38" s="42">
        <f>C35/((1+C67)^14)</f>
        <v>7516.3574190526597</v>
      </c>
      <c r="D38" s="1"/>
      <c r="E38" s="4" t="s">
        <v>16</v>
      </c>
      <c r="F38" s="22">
        <f t="shared" ref="F38" si="11">-$C$51*F4</f>
        <v>-562.5</v>
      </c>
      <c r="G38" s="22">
        <f>-$C$51*(G4*(1+$C$70))</f>
        <v>-568.08281249999993</v>
      </c>
      <c r="H38" s="22">
        <f t="shared" ref="H38:AD38" si="12">-$C$51*(H4*(1+$C$70))</f>
        <v>-565.2423984374999</v>
      </c>
      <c r="I38" s="22">
        <f t="shared" si="12"/>
        <v>-562.41618644531252</v>
      </c>
      <c r="J38" s="22">
        <f t="shared" si="12"/>
        <v>-559.60410551308598</v>
      </c>
      <c r="K38" s="22">
        <f t="shared" si="12"/>
        <v>-556.80608498552044</v>
      </c>
      <c r="L38" s="22">
        <f t="shared" si="12"/>
        <v>-554.02205456059289</v>
      </c>
      <c r="M38" s="22">
        <f t="shared" si="12"/>
        <v>-551.25194428779002</v>
      </c>
      <c r="N38" s="22">
        <f t="shared" si="12"/>
        <v>-548.49568456635097</v>
      </c>
      <c r="O38" s="22">
        <f t="shared" si="12"/>
        <v>-545.75320614351926</v>
      </c>
      <c r="P38" s="22">
        <f t="shared" si="12"/>
        <v>-543.0244401128017</v>
      </c>
      <c r="Q38" s="22">
        <f t="shared" si="12"/>
        <v>-540.3093179122377</v>
      </c>
      <c r="R38" s="22">
        <f t="shared" si="12"/>
        <v>-537.60777132267651</v>
      </c>
      <c r="S38" s="22">
        <f t="shared" si="12"/>
        <v>-534.91973246606301</v>
      </c>
      <c r="T38" s="22">
        <f t="shared" si="12"/>
        <v>-532.24513380373276</v>
      </c>
      <c r="U38" s="22">
        <f t="shared" si="12"/>
        <v>-529.58390813471408</v>
      </c>
      <c r="V38" s="22">
        <f t="shared" si="12"/>
        <v>-526.93598859404062</v>
      </c>
      <c r="W38" s="22">
        <f t="shared" si="12"/>
        <v>-524.30130865107037</v>
      </c>
      <c r="X38" s="22">
        <f t="shared" si="12"/>
        <v>-521.67980210781491</v>
      </c>
      <c r="Y38" s="22">
        <f t="shared" si="12"/>
        <v>-519.07140309727583</v>
      </c>
      <c r="Z38" s="22">
        <f t="shared" si="12"/>
        <v>-516.4760460817896</v>
      </c>
      <c r="AA38" s="22">
        <f t="shared" si="12"/>
        <v>-513.89366585138055</v>
      </c>
      <c r="AB38" s="22">
        <f t="shared" si="12"/>
        <v>-511.32419752212365</v>
      </c>
      <c r="AC38" s="22">
        <f t="shared" si="12"/>
        <v>-508.76757653451307</v>
      </c>
      <c r="AD38" s="22">
        <f t="shared" si="12"/>
        <v>-506.22373865184045</v>
      </c>
      <c r="AE38" s="1"/>
    </row>
    <row r="39" spans="1:31">
      <c r="A39" s="3"/>
      <c r="B39" s="36"/>
      <c r="C39" s="42"/>
      <c r="D39" s="1"/>
      <c r="E39" s="4" t="s">
        <v>42</v>
      </c>
      <c r="F39" s="22">
        <f t="shared" ref="F39" si="13">-$C$52*F4</f>
        <v>0</v>
      </c>
      <c r="G39" s="22">
        <f>-$C$52*(G4*(1+$C$70))</f>
        <v>0</v>
      </c>
      <c r="H39" s="22">
        <f t="shared" ref="H39:AD39" si="14">-$C$52*(H4*(1+$C$70))</f>
        <v>0</v>
      </c>
      <c r="I39" s="22">
        <f t="shared" si="14"/>
        <v>0</v>
      </c>
      <c r="J39" s="22">
        <f t="shared" si="14"/>
        <v>0</v>
      </c>
      <c r="K39" s="22">
        <f t="shared" si="14"/>
        <v>0</v>
      </c>
      <c r="L39" s="22">
        <f t="shared" si="14"/>
        <v>0</v>
      </c>
      <c r="M39" s="22">
        <f t="shared" si="14"/>
        <v>0</v>
      </c>
      <c r="N39" s="22">
        <f t="shared" si="14"/>
        <v>0</v>
      </c>
      <c r="O39" s="22">
        <f t="shared" si="14"/>
        <v>0</v>
      </c>
      <c r="P39" s="22">
        <f t="shared" si="14"/>
        <v>0</v>
      </c>
      <c r="Q39" s="22">
        <f t="shared" si="14"/>
        <v>0</v>
      </c>
      <c r="R39" s="22">
        <f t="shared" si="14"/>
        <v>0</v>
      </c>
      <c r="S39" s="22">
        <f t="shared" si="14"/>
        <v>0</v>
      </c>
      <c r="T39" s="22">
        <f t="shared" si="14"/>
        <v>0</v>
      </c>
      <c r="U39" s="22">
        <f t="shared" si="14"/>
        <v>0</v>
      </c>
      <c r="V39" s="22">
        <f t="shared" si="14"/>
        <v>0</v>
      </c>
      <c r="W39" s="22">
        <f t="shared" si="14"/>
        <v>0</v>
      </c>
      <c r="X39" s="22">
        <f t="shared" si="14"/>
        <v>0</v>
      </c>
      <c r="Y39" s="22">
        <f t="shared" si="14"/>
        <v>0</v>
      </c>
      <c r="Z39" s="22">
        <f t="shared" si="14"/>
        <v>0</v>
      </c>
      <c r="AA39" s="22">
        <f t="shared" si="14"/>
        <v>0</v>
      </c>
      <c r="AB39" s="22">
        <f t="shared" si="14"/>
        <v>0</v>
      </c>
      <c r="AC39" s="22">
        <f t="shared" si="14"/>
        <v>0</v>
      </c>
      <c r="AD39" s="22">
        <f t="shared" si="14"/>
        <v>0</v>
      </c>
      <c r="AE39" s="1"/>
    </row>
    <row r="40" spans="1:31">
      <c r="A40" s="3"/>
      <c r="B40" s="43" t="s">
        <v>8</v>
      </c>
      <c r="C40" s="33"/>
      <c r="D40" s="1"/>
      <c r="E40" s="4" t="s">
        <v>38</v>
      </c>
      <c r="F40" s="22">
        <f t="shared" ref="F40" si="15">F4*-$C$53</f>
        <v>-450</v>
      </c>
      <c r="G40" s="22">
        <f>-$C$53*(G4*(1+$C$70))</f>
        <v>-454.46624999999995</v>
      </c>
      <c r="H40" s="22">
        <f t="shared" ref="H40:AD40" si="16">-$C$53*(H4*(1+$C$70))</f>
        <v>-452.19391874999997</v>
      </c>
      <c r="I40" s="22">
        <f t="shared" si="16"/>
        <v>-449.93294915624995</v>
      </c>
      <c r="J40" s="22">
        <f t="shared" si="16"/>
        <v>-447.68328441046879</v>
      </c>
      <c r="K40" s="22">
        <f t="shared" si="16"/>
        <v>-445.44486798841638</v>
      </c>
      <c r="L40" s="22">
        <f t="shared" si="16"/>
        <v>-443.21764364847434</v>
      </c>
      <c r="M40" s="22">
        <f t="shared" si="16"/>
        <v>-441.00155543023197</v>
      </c>
      <c r="N40" s="22">
        <f t="shared" si="16"/>
        <v>-438.79654765308078</v>
      </c>
      <c r="O40" s="22">
        <f t="shared" si="16"/>
        <v>-436.60256491481539</v>
      </c>
      <c r="P40" s="22">
        <f t="shared" si="16"/>
        <v>-434.41955209024133</v>
      </c>
      <c r="Q40" s="22">
        <f t="shared" si="16"/>
        <v>-432.24745432979012</v>
      </c>
      <c r="R40" s="22">
        <f t="shared" si="16"/>
        <v>-430.08621705814119</v>
      </c>
      <c r="S40" s="22">
        <f t="shared" si="16"/>
        <v>-427.93578597285045</v>
      </c>
      <c r="T40" s="22">
        <f t="shared" si="16"/>
        <v>-425.79610704298619</v>
      </c>
      <c r="U40" s="22">
        <f t="shared" si="16"/>
        <v>-423.66712650777123</v>
      </c>
      <c r="V40" s="22">
        <f t="shared" si="16"/>
        <v>-421.54879087523244</v>
      </c>
      <c r="W40" s="22">
        <f t="shared" si="16"/>
        <v>-419.44104692085625</v>
      </c>
      <c r="X40" s="22">
        <f t="shared" si="16"/>
        <v>-417.34384168625189</v>
      </c>
      <c r="Y40" s="22">
        <f t="shared" si="16"/>
        <v>-415.2571224778207</v>
      </c>
      <c r="Z40" s="22">
        <f t="shared" si="16"/>
        <v>-413.18083686543162</v>
      </c>
      <c r="AA40" s="22">
        <f t="shared" si="16"/>
        <v>-411.11493268110439</v>
      </c>
      <c r="AB40" s="22">
        <f t="shared" si="16"/>
        <v>-409.05935801769891</v>
      </c>
      <c r="AC40" s="22">
        <f t="shared" si="16"/>
        <v>-407.01406122761045</v>
      </c>
      <c r="AD40" s="22">
        <f t="shared" si="16"/>
        <v>-404.97899092147236</v>
      </c>
      <c r="AE40" s="1"/>
    </row>
    <row r="41" spans="1:31">
      <c r="A41" s="3"/>
      <c r="B41" s="44" t="s">
        <v>19</v>
      </c>
      <c r="C41" s="45">
        <v>5.1999999999999998E-2</v>
      </c>
      <c r="D41" s="1"/>
      <c r="E41" s="4" t="s">
        <v>39</v>
      </c>
      <c r="F41" s="22">
        <f t="shared" ref="F41" si="17">-$C$54*F4</f>
        <v>-450</v>
      </c>
      <c r="G41" s="22">
        <f>-$C$54*(G4*(1+$C$70))</f>
        <v>-454.46624999999995</v>
      </c>
      <c r="H41" s="22">
        <f t="shared" ref="H41:AD41" si="18">-$C$54*(H4*(1+$C$70))</f>
        <v>-452.19391874999997</v>
      </c>
      <c r="I41" s="22">
        <f t="shared" si="18"/>
        <v>-449.93294915624995</v>
      </c>
      <c r="J41" s="22">
        <f t="shared" si="18"/>
        <v>-447.68328441046879</v>
      </c>
      <c r="K41" s="22">
        <f t="shared" si="18"/>
        <v>-445.44486798841638</v>
      </c>
      <c r="L41" s="22">
        <f t="shared" si="18"/>
        <v>-443.21764364847434</v>
      </c>
      <c r="M41" s="22">
        <f t="shared" si="18"/>
        <v>-441.00155543023197</v>
      </c>
      <c r="N41" s="22">
        <f t="shared" si="18"/>
        <v>-438.79654765308078</v>
      </c>
      <c r="O41" s="22">
        <f t="shared" si="18"/>
        <v>-436.60256491481539</v>
      </c>
      <c r="P41" s="22">
        <f t="shared" si="18"/>
        <v>-434.41955209024133</v>
      </c>
      <c r="Q41" s="22">
        <f t="shared" si="18"/>
        <v>-432.24745432979012</v>
      </c>
      <c r="R41" s="22">
        <f t="shared" si="18"/>
        <v>-430.08621705814119</v>
      </c>
      <c r="S41" s="22">
        <f t="shared" si="18"/>
        <v>-427.93578597285045</v>
      </c>
      <c r="T41" s="22">
        <f t="shared" si="18"/>
        <v>-425.79610704298619</v>
      </c>
      <c r="U41" s="22">
        <f t="shared" si="18"/>
        <v>-423.66712650777123</v>
      </c>
      <c r="V41" s="22">
        <f t="shared" si="18"/>
        <v>-421.54879087523244</v>
      </c>
      <c r="W41" s="22">
        <f t="shared" si="18"/>
        <v>-419.44104692085625</v>
      </c>
      <c r="X41" s="22">
        <f t="shared" si="18"/>
        <v>-417.34384168625189</v>
      </c>
      <c r="Y41" s="22">
        <f t="shared" si="18"/>
        <v>-415.2571224778207</v>
      </c>
      <c r="Z41" s="22">
        <f t="shared" si="18"/>
        <v>-413.18083686543162</v>
      </c>
      <c r="AA41" s="22">
        <f t="shared" si="18"/>
        <v>-411.11493268110439</v>
      </c>
      <c r="AB41" s="22">
        <f t="shared" si="18"/>
        <v>-409.05935801769891</v>
      </c>
      <c r="AC41" s="22">
        <f t="shared" si="18"/>
        <v>-407.01406122761045</v>
      </c>
      <c r="AD41" s="22">
        <f t="shared" si="18"/>
        <v>-404.97899092147236</v>
      </c>
      <c r="AE41" s="1"/>
    </row>
    <row r="42" spans="1:31">
      <c r="A42" s="3"/>
      <c r="B42" s="44" t="s">
        <v>45</v>
      </c>
      <c r="C42" s="46">
        <v>0</v>
      </c>
      <c r="D42" s="1"/>
      <c r="E42" s="8" t="s">
        <v>17</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
    </row>
    <row r="43" spans="1:31">
      <c r="A43" s="3"/>
      <c r="B43" s="44" t="s">
        <v>44</v>
      </c>
      <c r="C43" s="46">
        <v>1</v>
      </c>
      <c r="D43" s="1"/>
      <c r="E43" s="4" t="s">
        <v>29</v>
      </c>
      <c r="F43" s="22">
        <f t="shared" ref="F43" si="19">-$C$57</f>
        <v>-99</v>
      </c>
      <c r="G43" s="15">
        <f>F43*(1+$C$71)</f>
        <v>-100.48499999999999</v>
      </c>
      <c r="H43" s="15">
        <f t="shared" ref="H43:AD43" si="20">G43*(1+$C$71)</f>
        <v>-101.99227499999998</v>
      </c>
      <c r="I43" s="15">
        <f t="shared" si="20"/>
        <v>-103.52215912499997</v>
      </c>
      <c r="J43" s="15">
        <f t="shared" si="20"/>
        <v>-105.07499151187497</v>
      </c>
      <c r="K43" s="15">
        <f t="shared" si="20"/>
        <v>-106.65111638455308</v>
      </c>
      <c r="L43" s="15">
        <f t="shared" si="20"/>
        <v>-108.25088313032137</v>
      </c>
      <c r="M43" s="15">
        <f t="shared" si="20"/>
        <v>-109.87464637727618</v>
      </c>
      <c r="N43" s="15">
        <f t="shared" si="20"/>
        <v>-111.52276607293531</v>
      </c>
      <c r="O43" s="15">
        <f t="shared" si="20"/>
        <v>-113.19560756402933</v>
      </c>
      <c r="P43" s="15">
        <f t="shared" si="20"/>
        <v>-114.89354167748976</v>
      </c>
      <c r="Q43" s="15">
        <f t="shared" si="20"/>
        <v>-116.6169448026521</v>
      </c>
      <c r="R43" s="15">
        <f t="shared" si="20"/>
        <v>-118.36619897469187</v>
      </c>
      <c r="S43" s="15">
        <f t="shared" si="20"/>
        <v>-120.14169195931224</v>
      </c>
      <c r="T43" s="15">
        <f t="shared" si="20"/>
        <v>-121.9438173387019</v>
      </c>
      <c r="U43" s="15">
        <f t="shared" si="20"/>
        <v>-123.77297459878243</v>
      </c>
      <c r="V43" s="15">
        <f t="shared" si="20"/>
        <v>-125.62956921776416</v>
      </c>
      <c r="W43" s="15">
        <f t="shared" si="20"/>
        <v>-127.51401275603061</v>
      </c>
      <c r="X43" s="15">
        <f t="shared" si="20"/>
        <v>-129.42672294737105</v>
      </c>
      <c r="Y43" s="15">
        <f t="shared" si="20"/>
        <v>-131.36812379158161</v>
      </c>
      <c r="Z43" s="15">
        <f t="shared" si="20"/>
        <v>-133.33864564845533</v>
      </c>
      <c r="AA43" s="15">
        <f t="shared" si="20"/>
        <v>-135.33872533318214</v>
      </c>
      <c r="AB43" s="15">
        <f t="shared" si="20"/>
        <v>-137.36880621317985</v>
      </c>
      <c r="AC43" s="15">
        <f t="shared" si="20"/>
        <v>-139.42933830637753</v>
      </c>
      <c r="AD43" s="15">
        <f t="shared" si="20"/>
        <v>-141.52077838097318</v>
      </c>
      <c r="AE43" s="1"/>
    </row>
    <row r="44" spans="1:31">
      <c r="A44" s="3"/>
      <c r="B44" s="32"/>
      <c r="C44" s="33"/>
      <c r="D44" s="1"/>
      <c r="E44" s="4" t="s">
        <v>33</v>
      </c>
      <c r="F44" s="22">
        <f t="shared" ref="F44" si="21">-$C$58</f>
        <v>0</v>
      </c>
      <c r="G44" s="15">
        <f>F44*(1+$C$71)</f>
        <v>0</v>
      </c>
      <c r="H44" s="15">
        <f t="shared" ref="H44:AD44" si="22">G44*(1+$C$71)</f>
        <v>0</v>
      </c>
      <c r="I44" s="15">
        <f t="shared" si="22"/>
        <v>0</v>
      </c>
      <c r="J44" s="15">
        <f t="shared" si="22"/>
        <v>0</v>
      </c>
      <c r="K44" s="15">
        <f t="shared" si="22"/>
        <v>0</v>
      </c>
      <c r="L44" s="15">
        <f t="shared" si="22"/>
        <v>0</v>
      </c>
      <c r="M44" s="15">
        <f t="shared" si="22"/>
        <v>0</v>
      </c>
      <c r="N44" s="15">
        <f t="shared" si="22"/>
        <v>0</v>
      </c>
      <c r="O44" s="15">
        <f t="shared" si="22"/>
        <v>0</v>
      </c>
      <c r="P44" s="15">
        <f t="shared" si="22"/>
        <v>0</v>
      </c>
      <c r="Q44" s="15">
        <f t="shared" si="22"/>
        <v>0</v>
      </c>
      <c r="R44" s="15">
        <f t="shared" si="22"/>
        <v>0</v>
      </c>
      <c r="S44" s="15">
        <f t="shared" si="22"/>
        <v>0</v>
      </c>
      <c r="T44" s="15">
        <f t="shared" si="22"/>
        <v>0</v>
      </c>
      <c r="U44" s="15">
        <f t="shared" si="22"/>
        <v>0</v>
      </c>
      <c r="V44" s="15">
        <f t="shared" si="22"/>
        <v>0</v>
      </c>
      <c r="W44" s="15">
        <f t="shared" si="22"/>
        <v>0</v>
      </c>
      <c r="X44" s="15">
        <f t="shared" si="22"/>
        <v>0</v>
      </c>
      <c r="Y44" s="15">
        <f t="shared" si="22"/>
        <v>0</v>
      </c>
      <c r="Z44" s="15">
        <f t="shared" si="22"/>
        <v>0</v>
      </c>
      <c r="AA44" s="15">
        <f t="shared" si="22"/>
        <v>0</v>
      </c>
      <c r="AB44" s="15">
        <f t="shared" si="22"/>
        <v>0</v>
      </c>
      <c r="AC44" s="15">
        <f t="shared" si="22"/>
        <v>0</v>
      </c>
      <c r="AD44" s="15">
        <f t="shared" si="22"/>
        <v>0</v>
      </c>
      <c r="AE44" s="1"/>
    </row>
    <row r="45" spans="1:31">
      <c r="A45" s="3"/>
      <c r="B45" s="43" t="s">
        <v>23</v>
      </c>
      <c r="C45" s="47"/>
      <c r="D45" s="1"/>
      <c r="E45" s="4" t="s">
        <v>34</v>
      </c>
      <c r="F45" s="22">
        <f t="shared" ref="F45" si="23">-$C$59</f>
        <v>-200</v>
      </c>
      <c r="G45" s="15">
        <f>F45</f>
        <v>-200</v>
      </c>
      <c r="H45" s="15">
        <f t="shared" ref="H45:AD45" si="24">G45</f>
        <v>-200</v>
      </c>
      <c r="I45" s="15">
        <f t="shared" si="24"/>
        <v>-200</v>
      </c>
      <c r="J45" s="15">
        <f t="shared" si="24"/>
        <v>-200</v>
      </c>
      <c r="K45" s="15">
        <f t="shared" si="24"/>
        <v>-200</v>
      </c>
      <c r="L45" s="15">
        <f t="shared" si="24"/>
        <v>-200</v>
      </c>
      <c r="M45" s="15">
        <f t="shared" si="24"/>
        <v>-200</v>
      </c>
      <c r="N45" s="15">
        <f t="shared" si="24"/>
        <v>-200</v>
      </c>
      <c r="O45" s="15">
        <f t="shared" si="24"/>
        <v>-200</v>
      </c>
      <c r="P45" s="15">
        <f t="shared" si="24"/>
        <v>-200</v>
      </c>
      <c r="Q45" s="15">
        <f t="shared" si="24"/>
        <v>-200</v>
      </c>
      <c r="R45" s="15">
        <f t="shared" si="24"/>
        <v>-200</v>
      </c>
      <c r="S45" s="15">
        <f t="shared" si="24"/>
        <v>-200</v>
      </c>
      <c r="T45" s="15">
        <f t="shared" si="24"/>
        <v>-200</v>
      </c>
      <c r="U45" s="15">
        <f t="shared" si="24"/>
        <v>-200</v>
      </c>
      <c r="V45" s="15">
        <f t="shared" si="24"/>
        <v>-200</v>
      </c>
      <c r="W45" s="15">
        <f t="shared" si="24"/>
        <v>-200</v>
      </c>
      <c r="X45" s="15">
        <f t="shared" si="24"/>
        <v>-200</v>
      </c>
      <c r="Y45" s="15">
        <f t="shared" si="24"/>
        <v>-200</v>
      </c>
      <c r="Z45" s="15">
        <f t="shared" si="24"/>
        <v>-200</v>
      </c>
      <c r="AA45" s="15">
        <f t="shared" si="24"/>
        <v>-200</v>
      </c>
      <c r="AB45" s="15">
        <f t="shared" si="24"/>
        <v>-200</v>
      </c>
      <c r="AC45" s="15">
        <f t="shared" si="24"/>
        <v>-200</v>
      </c>
      <c r="AD45" s="15">
        <f t="shared" si="24"/>
        <v>-200</v>
      </c>
      <c r="AE45" s="1"/>
    </row>
    <row r="46" spans="1:31">
      <c r="A46" s="3"/>
      <c r="B46" s="44" t="s">
        <v>27</v>
      </c>
      <c r="C46" s="48">
        <v>0.05</v>
      </c>
      <c r="D46" s="1"/>
      <c r="E46" s="4" t="s">
        <v>35</v>
      </c>
      <c r="F46" s="22">
        <f t="shared" ref="F46" si="25">-$C$60</f>
        <v>-375</v>
      </c>
      <c r="G46" s="15">
        <f>F46*(1+$C$71)</f>
        <v>-380.62499999999994</v>
      </c>
      <c r="H46" s="15">
        <f t="shared" ref="H46:AD46" si="26">G46*(1+$C$71)</f>
        <v>-386.33437499999991</v>
      </c>
      <c r="I46" s="15">
        <f t="shared" si="26"/>
        <v>-392.12939062499987</v>
      </c>
      <c r="J46" s="15">
        <f t="shared" si="26"/>
        <v>-398.01133148437481</v>
      </c>
      <c r="K46" s="15">
        <f t="shared" si="26"/>
        <v>-403.98150145664039</v>
      </c>
      <c r="L46" s="15">
        <f t="shared" si="26"/>
        <v>-410.04122397848994</v>
      </c>
      <c r="M46" s="15">
        <f t="shared" si="26"/>
        <v>-416.19184233816725</v>
      </c>
      <c r="N46" s="15">
        <f t="shared" si="26"/>
        <v>-422.43471997323974</v>
      </c>
      <c r="O46" s="15">
        <f t="shared" si="26"/>
        <v>-428.77124077283827</v>
      </c>
      <c r="P46" s="15">
        <f t="shared" si="26"/>
        <v>-435.20280938443079</v>
      </c>
      <c r="Q46" s="15">
        <f t="shared" si="26"/>
        <v>-441.73085152519724</v>
      </c>
      <c r="R46" s="15">
        <f t="shared" si="26"/>
        <v>-448.35681429807516</v>
      </c>
      <c r="S46" s="15">
        <f t="shared" si="26"/>
        <v>-455.08216651254622</v>
      </c>
      <c r="T46" s="15">
        <f t="shared" si="26"/>
        <v>-461.90839901023435</v>
      </c>
      <c r="U46" s="15">
        <f t="shared" si="26"/>
        <v>-468.83702499538782</v>
      </c>
      <c r="V46" s="15">
        <f t="shared" si="26"/>
        <v>-475.8695803703186</v>
      </c>
      <c r="W46" s="15">
        <f t="shared" si="26"/>
        <v>-483.00762407587331</v>
      </c>
      <c r="X46" s="15">
        <f t="shared" si="26"/>
        <v>-490.25273843701137</v>
      </c>
      <c r="Y46" s="15">
        <f t="shared" si="26"/>
        <v>-497.6065295135665</v>
      </c>
      <c r="Z46" s="15">
        <f t="shared" si="26"/>
        <v>-505.07062745626996</v>
      </c>
      <c r="AA46" s="15">
        <f t="shared" si="26"/>
        <v>-512.64668686811399</v>
      </c>
      <c r="AB46" s="15">
        <f t="shared" si="26"/>
        <v>-520.3363871711357</v>
      </c>
      <c r="AC46" s="15">
        <f t="shared" si="26"/>
        <v>-528.14143297870271</v>
      </c>
      <c r="AD46" s="15">
        <f t="shared" si="26"/>
        <v>-536.06355447338319</v>
      </c>
      <c r="AE46" s="1"/>
    </row>
    <row r="47" spans="1:31">
      <c r="A47" s="3"/>
      <c r="B47" s="44" t="s">
        <v>28</v>
      </c>
      <c r="C47" s="40">
        <v>1000</v>
      </c>
      <c r="D47" s="1"/>
      <c r="E47" s="4" t="s">
        <v>36</v>
      </c>
      <c r="F47" s="22">
        <f t="shared" ref="F47" si="27">-$C$61</f>
        <v>-120</v>
      </c>
      <c r="G47" s="15">
        <f>F47*(1+$C$71)</f>
        <v>-121.79999999999998</v>
      </c>
      <c r="H47" s="15">
        <f t="shared" ref="H47:AD47" si="28">G47*(1+$C$71)</f>
        <v>-123.62699999999997</v>
      </c>
      <c r="I47" s="15">
        <f t="shared" si="28"/>
        <v>-125.48140499999995</v>
      </c>
      <c r="J47" s="15">
        <f t="shared" si="28"/>
        <v>-127.36362607499994</v>
      </c>
      <c r="K47" s="15">
        <f t="shared" si="28"/>
        <v>-129.27408046612493</v>
      </c>
      <c r="L47" s="15">
        <f t="shared" si="28"/>
        <v>-131.2131916731168</v>
      </c>
      <c r="M47" s="15">
        <f t="shared" si="28"/>
        <v>-133.18138954821353</v>
      </c>
      <c r="N47" s="15">
        <f t="shared" si="28"/>
        <v>-135.17911039143672</v>
      </c>
      <c r="O47" s="15">
        <f t="shared" si="28"/>
        <v>-137.20679704730827</v>
      </c>
      <c r="P47" s="15">
        <f t="shared" si="28"/>
        <v>-139.26489900301789</v>
      </c>
      <c r="Q47" s="15">
        <f t="shared" si="28"/>
        <v>-141.35387248806313</v>
      </c>
      <c r="R47" s="15">
        <f t="shared" si="28"/>
        <v>-143.47418057538405</v>
      </c>
      <c r="S47" s="15">
        <f t="shared" si="28"/>
        <v>-145.62629328401479</v>
      </c>
      <c r="T47" s="15">
        <f t="shared" si="28"/>
        <v>-147.81068768327501</v>
      </c>
      <c r="U47" s="15">
        <f t="shared" si="28"/>
        <v>-150.02784799852412</v>
      </c>
      <c r="V47" s="15">
        <f t="shared" si="28"/>
        <v>-152.27826571850198</v>
      </c>
      <c r="W47" s="15">
        <f t="shared" si="28"/>
        <v>-154.56243970427951</v>
      </c>
      <c r="X47" s="15">
        <f t="shared" si="28"/>
        <v>-156.88087629984369</v>
      </c>
      <c r="Y47" s="15">
        <f t="shared" si="28"/>
        <v>-159.23408944434132</v>
      </c>
      <c r="Z47" s="15">
        <f t="shared" si="28"/>
        <v>-161.62260078600642</v>
      </c>
      <c r="AA47" s="15">
        <f t="shared" si="28"/>
        <v>-164.04693979779648</v>
      </c>
      <c r="AB47" s="15">
        <f t="shared" si="28"/>
        <v>-166.50764389476342</v>
      </c>
      <c r="AC47" s="15">
        <f t="shared" si="28"/>
        <v>-169.00525855318486</v>
      </c>
      <c r="AD47" s="15">
        <f t="shared" si="28"/>
        <v>-171.54033743148261</v>
      </c>
      <c r="AE47" s="1"/>
    </row>
    <row r="48" spans="1:31">
      <c r="A48" s="3"/>
      <c r="B48" s="44" t="str">
        <f>E36</f>
        <v>Overige kosten derden</v>
      </c>
      <c r="C48" s="40">
        <v>1000</v>
      </c>
      <c r="D48" s="1"/>
      <c r="E48" s="4" t="s">
        <v>37</v>
      </c>
      <c r="F48" s="26">
        <f t="shared" ref="F48" si="29">-$C$62</f>
        <v>0</v>
      </c>
      <c r="G48" s="16">
        <f>-$C$62*(1+$C$71)</f>
        <v>0</v>
      </c>
      <c r="H48" s="16">
        <f t="shared" ref="H48:AD48" si="30">-$C$62*(1+$C$71)</f>
        <v>0</v>
      </c>
      <c r="I48" s="16">
        <f t="shared" si="30"/>
        <v>0</v>
      </c>
      <c r="J48" s="16">
        <f t="shared" si="30"/>
        <v>0</v>
      </c>
      <c r="K48" s="16">
        <f t="shared" si="30"/>
        <v>0</v>
      </c>
      <c r="L48" s="16">
        <f t="shared" si="30"/>
        <v>0</v>
      </c>
      <c r="M48" s="16">
        <f t="shared" si="30"/>
        <v>0</v>
      </c>
      <c r="N48" s="16">
        <f t="shared" si="30"/>
        <v>0</v>
      </c>
      <c r="O48" s="16">
        <f t="shared" si="30"/>
        <v>0</v>
      </c>
      <c r="P48" s="16">
        <f t="shared" si="30"/>
        <v>0</v>
      </c>
      <c r="Q48" s="16">
        <f t="shared" si="30"/>
        <v>0</v>
      </c>
      <c r="R48" s="16">
        <f t="shared" si="30"/>
        <v>0</v>
      </c>
      <c r="S48" s="16">
        <f t="shared" si="30"/>
        <v>0</v>
      </c>
      <c r="T48" s="16">
        <f t="shared" si="30"/>
        <v>0</v>
      </c>
      <c r="U48" s="16">
        <f t="shared" si="30"/>
        <v>0</v>
      </c>
      <c r="V48" s="16">
        <f t="shared" si="30"/>
        <v>0</v>
      </c>
      <c r="W48" s="16">
        <f t="shared" si="30"/>
        <v>0</v>
      </c>
      <c r="X48" s="16">
        <f t="shared" si="30"/>
        <v>0</v>
      </c>
      <c r="Y48" s="16">
        <f t="shared" si="30"/>
        <v>0</v>
      </c>
      <c r="Z48" s="16">
        <f t="shared" si="30"/>
        <v>0</v>
      </c>
      <c r="AA48" s="16">
        <f t="shared" si="30"/>
        <v>0</v>
      </c>
      <c r="AB48" s="16">
        <f t="shared" si="30"/>
        <v>0</v>
      </c>
      <c r="AC48" s="16">
        <f t="shared" si="30"/>
        <v>0</v>
      </c>
      <c r="AD48" s="16">
        <f t="shared" si="30"/>
        <v>0</v>
      </c>
      <c r="AE48" s="1"/>
    </row>
    <row r="49" spans="1:31">
      <c r="A49" s="3"/>
      <c r="B49" s="32"/>
      <c r="C49" s="33"/>
      <c r="D49" s="1"/>
      <c r="E49" s="9" t="s">
        <v>9</v>
      </c>
      <c r="F49" s="17">
        <f>SUM(F34:F48)</f>
        <v>-7756.5</v>
      </c>
      <c r="G49" s="17">
        <f t="shared" ref="G49:AD49" si="31">SUM(G34:G48)</f>
        <v>-2279.9253124999996</v>
      </c>
      <c r="H49" s="17">
        <f t="shared" si="31"/>
        <v>-2281.5838859374999</v>
      </c>
      <c r="I49" s="17">
        <f t="shared" si="31"/>
        <v>-2283.4150395078123</v>
      </c>
      <c r="J49" s="17">
        <f t="shared" si="31"/>
        <v>-2285.4206234052731</v>
      </c>
      <c r="K49" s="17">
        <f t="shared" si="31"/>
        <v>-2287.6025192696711</v>
      </c>
      <c r="L49" s="17">
        <f t="shared" si="31"/>
        <v>-2289.9626406394696</v>
      </c>
      <c r="M49" s="17">
        <f t="shared" si="31"/>
        <v>-2292.5029334119113</v>
      </c>
      <c r="N49" s="17">
        <f t="shared" si="31"/>
        <v>-2295.2253763101244</v>
      </c>
      <c r="O49" s="17">
        <f t="shared" si="31"/>
        <v>-2298.1319813573259</v>
      </c>
      <c r="P49" s="17">
        <f t="shared" si="31"/>
        <v>-2301.2247943582229</v>
      </c>
      <c r="Q49" s="17">
        <f t="shared" si="31"/>
        <v>-2304.5058953877306</v>
      </c>
      <c r="R49" s="17">
        <f t="shared" si="31"/>
        <v>-2307.9773992871101</v>
      </c>
      <c r="S49" s="17">
        <f t="shared" si="31"/>
        <v>-2311.6414561676374</v>
      </c>
      <c r="T49" s="17">
        <f t="shared" si="31"/>
        <v>-2315.5002519219161</v>
      </c>
      <c r="U49" s="17">
        <f t="shared" si="31"/>
        <v>-2319.5560087429508</v>
      </c>
      <c r="V49" s="17">
        <f t="shared" si="31"/>
        <v>-2323.8109856510905</v>
      </c>
      <c r="W49" s="17">
        <f t="shared" si="31"/>
        <v>-2328.2674790289661</v>
      </c>
      <c r="X49" s="17">
        <f t="shared" si="31"/>
        <v>-2332.9278231645449</v>
      </c>
      <c r="Y49" s="17">
        <f t="shared" si="31"/>
        <v>-2337.7943908024067</v>
      </c>
      <c r="Z49" s="17">
        <f t="shared" si="31"/>
        <v>-2342.8695937033845</v>
      </c>
      <c r="AA49" s="17">
        <f t="shared" si="31"/>
        <v>-2348.1558832126816</v>
      </c>
      <c r="AB49" s="17">
        <f t="shared" si="31"/>
        <v>-2353.6557508366004</v>
      </c>
      <c r="AC49" s="17">
        <f t="shared" si="31"/>
        <v>-2359.371728827999</v>
      </c>
      <c r="AD49" s="17">
        <f t="shared" si="31"/>
        <v>-2365.3063907806245</v>
      </c>
      <c r="AE49" s="1"/>
    </row>
    <row r="50" spans="1:31">
      <c r="A50" s="3"/>
      <c r="B50" s="43" t="s">
        <v>15</v>
      </c>
      <c r="C50" s="33"/>
      <c r="D50" s="1"/>
      <c r="E50" s="1"/>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
    </row>
    <row r="51" spans="1:31">
      <c r="A51" s="3"/>
      <c r="B51" s="49" t="s">
        <v>16</v>
      </c>
      <c r="C51" s="45">
        <v>1.2500000000000001E-2</v>
      </c>
      <c r="D51" s="1"/>
      <c r="E51" s="5" t="s">
        <v>57</v>
      </c>
      <c r="F51" s="17">
        <v>0</v>
      </c>
      <c r="G51" s="17">
        <v>0</v>
      </c>
      <c r="H51" s="17">
        <v>0</v>
      </c>
      <c r="I51" s="17">
        <v>0</v>
      </c>
      <c r="J51" s="17">
        <v>0</v>
      </c>
      <c r="K51" s="17">
        <v>0</v>
      </c>
      <c r="L51" s="17">
        <v>0</v>
      </c>
      <c r="M51" s="17">
        <v>0</v>
      </c>
      <c r="N51" s="17">
        <v>0</v>
      </c>
      <c r="O51" s="17">
        <v>0</v>
      </c>
      <c r="P51" s="17">
        <v>0</v>
      </c>
      <c r="Q51" s="17">
        <v>0</v>
      </c>
      <c r="R51" s="17">
        <v>0</v>
      </c>
      <c r="S51" s="17">
        <v>0</v>
      </c>
      <c r="T51" s="17">
        <v>0</v>
      </c>
      <c r="U51" s="17">
        <v>0</v>
      </c>
      <c r="V51" s="17">
        <v>0</v>
      </c>
      <c r="W51" s="17">
        <v>0</v>
      </c>
      <c r="X51" s="17">
        <v>0</v>
      </c>
      <c r="Y51" s="17">
        <v>0</v>
      </c>
      <c r="Z51" s="17">
        <v>0</v>
      </c>
      <c r="AA51" s="17">
        <v>0</v>
      </c>
      <c r="AB51" s="17">
        <v>0</v>
      </c>
      <c r="AC51" s="17">
        <v>0</v>
      </c>
      <c r="AD51" s="17">
        <v>0</v>
      </c>
      <c r="AE51" s="1"/>
    </row>
    <row r="52" spans="1:31">
      <c r="A52" s="3"/>
      <c r="B52" s="49" t="s">
        <v>42</v>
      </c>
      <c r="C52" s="40">
        <v>0</v>
      </c>
      <c r="D52" s="1"/>
      <c r="E52" s="1"/>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
    </row>
    <row r="53" spans="1:31">
      <c r="A53" s="3"/>
      <c r="B53" s="49" t="s">
        <v>38</v>
      </c>
      <c r="C53" s="45">
        <v>0.01</v>
      </c>
      <c r="D53" s="1"/>
      <c r="E53" s="5" t="s">
        <v>64</v>
      </c>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
    </row>
    <row r="54" spans="1:31">
      <c r="A54" s="3"/>
      <c r="B54" s="49" t="s">
        <v>43</v>
      </c>
      <c r="C54" s="45">
        <v>0.01</v>
      </c>
      <c r="D54" s="1"/>
      <c r="E54" s="8" t="s">
        <v>65</v>
      </c>
      <c r="F54" s="15">
        <f>-C38</f>
        <v>-7516.3574190526597</v>
      </c>
      <c r="G54" s="15">
        <v>0</v>
      </c>
      <c r="H54" s="15">
        <v>0</v>
      </c>
      <c r="I54" s="15">
        <v>0</v>
      </c>
      <c r="J54" s="15">
        <v>0</v>
      </c>
      <c r="K54" s="15">
        <v>0</v>
      </c>
      <c r="L54" s="15">
        <v>0</v>
      </c>
      <c r="M54" s="15">
        <v>0</v>
      </c>
      <c r="N54" s="15">
        <v>0</v>
      </c>
      <c r="O54" s="15">
        <v>0</v>
      </c>
      <c r="P54" s="15">
        <v>0</v>
      </c>
      <c r="Q54" s="15">
        <v>0</v>
      </c>
      <c r="R54" s="15">
        <v>0</v>
      </c>
      <c r="S54" s="15">
        <v>0</v>
      </c>
      <c r="T54" s="15">
        <v>0</v>
      </c>
      <c r="U54" s="15">
        <f>C35</f>
        <v>12500</v>
      </c>
      <c r="V54" s="15">
        <v>0</v>
      </c>
      <c r="W54" s="15">
        <v>0</v>
      </c>
      <c r="X54" s="15">
        <v>0</v>
      </c>
      <c r="Y54" s="15">
        <v>0</v>
      </c>
      <c r="Z54" s="15">
        <v>0</v>
      </c>
      <c r="AA54" s="15">
        <v>0</v>
      </c>
      <c r="AB54" s="15">
        <v>0</v>
      </c>
      <c r="AC54" s="15">
        <v>0</v>
      </c>
      <c r="AD54" s="15">
        <v>0</v>
      </c>
      <c r="AE54" s="1"/>
    </row>
    <row r="55" spans="1:31">
      <c r="A55" s="3"/>
      <c r="B55" s="49"/>
      <c r="C55" s="33"/>
      <c r="D55" s="1"/>
      <c r="E55" s="8" t="s">
        <v>66</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
    </row>
    <row r="56" spans="1:31">
      <c r="A56" s="3"/>
      <c r="B56" s="43" t="s">
        <v>17</v>
      </c>
      <c r="C56" s="33"/>
      <c r="D56" s="1"/>
      <c r="E56" s="9" t="s">
        <v>9</v>
      </c>
      <c r="F56" s="17">
        <f>F55+F54</f>
        <v>-7516.3574190526597</v>
      </c>
      <c r="G56" s="17">
        <f>G55+G54</f>
        <v>0</v>
      </c>
      <c r="H56" s="17">
        <f t="shared" ref="H56:AD56" si="32">H55+H54</f>
        <v>0</v>
      </c>
      <c r="I56" s="17">
        <f t="shared" si="32"/>
        <v>0</v>
      </c>
      <c r="J56" s="17">
        <f t="shared" si="32"/>
        <v>0</v>
      </c>
      <c r="K56" s="17">
        <f t="shared" si="32"/>
        <v>0</v>
      </c>
      <c r="L56" s="17">
        <f t="shared" si="32"/>
        <v>0</v>
      </c>
      <c r="M56" s="17">
        <f t="shared" si="32"/>
        <v>0</v>
      </c>
      <c r="N56" s="17">
        <f t="shared" si="32"/>
        <v>0</v>
      </c>
      <c r="O56" s="17">
        <f t="shared" si="32"/>
        <v>0</v>
      </c>
      <c r="P56" s="17">
        <f t="shared" si="32"/>
        <v>0</v>
      </c>
      <c r="Q56" s="17">
        <f t="shared" si="32"/>
        <v>0</v>
      </c>
      <c r="R56" s="17">
        <f t="shared" si="32"/>
        <v>0</v>
      </c>
      <c r="S56" s="17">
        <f t="shared" si="32"/>
        <v>0</v>
      </c>
      <c r="T56" s="17">
        <f t="shared" si="32"/>
        <v>0</v>
      </c>
      <c r="U56" s="17">
        <f t="shared" si="32"/>
        <v>12500</v>
      </c>
      <c r="V56" s="17">
        <f t="shared" si="32"/>
        <v>0</v>
      </c>
      <c r="W56" s="17">
        <f t="shared" si="32"/>
        <v>0</v>
      </c>
      <c r="X56" s="17">
        <f t="shared" si="32"/>
        <v>0</v>
      </c>
      <c r="Y56" s="17">
        <f t="shared" si="32"/>
        <v>0</v>
      </c>
      <c r="Z56" s="17">
        <f t="shared" si="32"/>
        <v>0</v>
      </c>
      <c r="AA56" s="17">
        <f t="shared" si="32"/>
        <v>0</v>
      </c>
      <c r="AB56" s="17">
        <f t="shared" si="32"/>
        <v>0</v>
      </c>
      <c r="AC56" s="17">
        <f t="shared" si="32"/>
        <v>0</v>
      </c>
      <c r="AD56" s="17">
        <f t="shared" si="32"/>
        <v>0</v>
      </c>
      <c r="AE56" s="1"/>
    </row>
    <row r="57" spans="1:31">
      <c r="A57" s="3"/>
      <c r="B57" s="44" t="s">
        <v>76</v>
      </c>
      <c r="C57" s="41">
        <v>99</v>
      </c>
      <c r="D57" s="1"/>
      <c r="E57" s="1"/>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
    </row>
    <row r="58" spans="1:31">
      <c r="A58" s="3"/>
      <c r="B58" s="44" t="s">
        <v>33</v>
      </c>
      <c r="C58" s="40">
        <v>0</v>
      </c>
      <c r="D58" s="1"/>
      <c r="E58" s="28" t="s">
        <v>18</v>
      </c>
      <c r="F58" s="19">
        <f>F56+F49+F30</f>
        <v>-86563.637419052655</v>
      </c>
      <c r="G58" s="19">
        <f t="shared" ref="G58:AD58" si="33">G56+G49+G30</f>
        <v>-2279.9253124999996</v>
      </c>
      <c r="H58" s="19">
        <f t="shared" si="33"/>
        <v>-2281.5838859374999</v>
      </c>
      <c r="I58" s="19">
        <f t="shared" si="33"/>
        <v>-2283.4150395078123</v>
      </c>
      <c r="J58" s="19">
        <f t="shared" si="33"/>
        <v>-2285.4206234052731</v>
      </c>
      <c r="K58" s="19">
        <f t="shared" si="33"/>
        <v>-2287.6025192696711</v>
      </c>
      <c r="L58" s="19">
        <f t="shared" si="33"/>
        <v>-2289.9626406394696</v>
      </c>
      <c r="M58" s="19">
        <f t="shared" si="33"/>
        <v>-2292.5029334119113</v>
      </c>
      <c r="N58" s="19">
        <f t="shared" si="33"/>
        <v>-2295.2253763101244</v>
      </c>
      <c r="O58" s="19">
        <f t="shared" si="33"/>
        <v>-2298.1319813573259</v>
      </c>
      <c r="P58" s="19">
        <f t="shared" si="33"/>
        <v>-2301.2247943582229</v>
      </c>
      <c r="Q58" s="19">
        <f t="shared" si="33"/>
        <v>-2304.5058953877306</v>
      </c>
      <c r="R58" s="19">
        <f t="shared" si="33"/>
        <v>-2307.9773992871101</v>
      </c>
      <c r="S58" s="19">
        <f t="shared" si="33"/>
        <v>-2311.6414561676374</v>
      </c>
      <c r="T58" s="19">
        <f t="shared" si="33"/>
        <v>-2315.5002519219161</v>
      </c>
      <c r="U58" s="19">
        <f t="shared" si="33"/>
        <v>-2319.5560087429512</v>
      </c>
      <c r="V58" s="19">
        <f t="shared" si="33"/>
        <v>-2323.8109856510905</v>
      </c>
      <c r="W58" s="19">
        <f t="shared" si="33"/>
        <v>-2328.2674790289661</v>
      </c>
      <c r="X58" s="19">
        <f t="shared" si="33"/>
        <v>-2332.9278231645449</v>
      </c>
      <c r="Y58" s="19">
        <f t="shared" si="33"/>
        <v>-2337.7943908024067</v>
      </c>
      <c r="Z58" s="19">
        <f t="shared" si="33"/>
        <v>-2342.8695937033845</v>
      </c>
      <c r="AA58" s="19">
        <f t="shared" si="33"/>
        <v>-2348.1558832126816</v>
      </c>
      <c r="AB58" s="19">
        <f t="shared" si="33"/>
        <v>-2353.6557508366004</v>
      </c>
      <c r="AC58" s="19">
        <f t="shared" si="33"/>
        <v>-2359.371728827999</v>
      </c>
      <c r="AD58" s="19">
        <f t="shared" si="33"/>
        <v>-2365.3063907806245</v>
      </c>
      <c r="AE58" s="1"/>
    </row>
    <row r="59" spans="1:31">
      <c r="A59" s="3"/>
      <c r="B59" s="44" t="s">
        <v>40</v>
      </c>
      <c r="C59" s="46">
        <v>200</v>
      </c>
      <c r="D59" s="1"/>
      <c r="E59" s="12"/>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
    </row>
    <row r="60" spans="1:31">
      <c r="A60" s="3"/>
      <c r="B60" s="44" t="s">
        <v>41</v>
      </c>
      <c r="C60" s="46">
        <v>375</v>
      </c>
      <c r="D60" s="1"/>
      <c r="E60" s="31" t="s">
        <v>52</v>
      </c>
      <c r="F60" s="68" t="s">
        <v>81</v>
      </c>
      <c r="G60" s="15"/>
      <c r="H60" s="15"/>
      <c r="I60" s="15"/>
      <c r="J60" s="15"/>
      <c r="K60" s="15"/>
      <c r="L60" s="15"/>
      <c r="M60" s="15"/>
      <c r="N60" s="15"/>
      <c r="O60" s="15"/>
      <c r="P60" s="15"/>
      <c r="Q60" s="15"/>
      <c r="R60" s="15"/>
      <c r="S60" s="15"/>
      <c r="T60" s="15"/>
      <c r="U60" s="15"/>
      <c r="V60" s="15"/>
      <c r="W60" s="15"/>
      <c r="X60" s="15"/>
      <c r="Y60" s="15"/>
      <c r="Z60" s="15"/>
      <c r="AA60" s="15"/>
      <c r="AB60" s="15"/>
      <c r="AC60" s="15"/>
      <c r="AD60" s="15"/>
      <c r="AE60" s="1"/>
    </row>
    <row r="61" spans="1:31">
      <c r="A61" s="3"/>
      <c r="B61" s="44" t="s">
        <v>36</v>
      </c>
      <c r="C61" s="46">
        <v>120</v>
      </c>
      <c r="D61" s="1"/>
      <c r="E61" s="12"/>
      <c r="F61" s="55"/>
      <c r="G61" s="55"/>
      <c r="H61" s="55"/>
      <c r="I61" s="55"/>
      <c r="J61" s="55"/>
      <c r="K61" s="55"/>
      <c r="L61" s="55"/>
      <c r="M61" s="55"/>
      <c r="N61" s="55"/>
      <c r="O61" s="55"/>
      <c r="P61" s="55"/>
      <c r="Q61" s="55"/>
      <c r="R61" s="55"/>
      <c r="S61" s="55"/>
      <c r="T61" s="55"/>
      <c r="U61" s="55"/>
      <c r="V61" s="55"/>
      <c r="W61" s="55"/>
      <c r="X61" s="55"/>
      <c r="Y61" s="55"/>
      <c r="Z61" s="55"/>
      <c r="AA61" s="55"/>
      <c r="AB61" s="55"/>
      <c r="AC61" s="13"/>
      <c r="AD61" s="13"/>
      <c r="AE61" s="1"/>
    </row>
    <row r="62" spans="1:31" ht="16" thickBot="1">
      <c r="A62" s="3"/>
      <c r="B62" s="44" t="s">
        <v>37</v>
      </c>
      <c r="C62" s="46">
        <v>0</v>
      </c>
      <c r="D62" s="1"/>
      <c r="E62" s="23" t="s">
        <v>74</v>
      </c>
      <c r="F62" s="24">
        <f>F58+F24</f>
        <v>1947.4263809473487</v>
      </c>
      <c r="G62" s="24">
        <f t="shared" ref="G62:AD62" si="34">G58+G24</f>
        <v>93.149687500000255</v>
      </c>
      <c r="H62" s="24">
        <f t="shared" si="34"/>
        <v>79.625739062500088</v>
      </c>
      <c r="I62" s="24">
        <f t="shared" si="34"/>
        <v>65.988537367187746</v>
      </c>
      <c r="J62" s="24">
        <f t="shared" si="34"/>
        <v>52.235935585351854</v>
      </c>
      <c r="K62" s="24">
        <f t="shared" si="34"/>
        <v>38.365756926000813</v>
      </c>
      <c r="L62" s="24">
        <f t="shared" si="34"/>
        <v>24.3757941752242</v>
      </c>
      <c r="M62" s="24">
        <f t="shared" si="34"/>
        <v>10.263809228708851</v>
      </c>
      <c r="N62" s="24">
        <f t="shared" si="34"/>
        <v>-3.9724673827072365</v>
      </c>
      <c r="O62" s="24">
        <f t="shared" si="34"/>
        <v>-18.335336974545953</v>
      </c>
      <c r="P62" s="24">
        <f t="shared" si="34"/>
        <v>-32.827133197356488</v>
      </c>
      <c r="Q62" s="24">
        <f t="shared" si="34"/>
        <v>-47.450222532668249</v>
      </c>
      <c r="R62" s="24">
        <f t="shared" si="34"/>
        <v>-62.207004796323417</v>
      </c>
      <c r="S62" s="24">
        <f t="shared" si="34"/>
        <v>-77.099913649305108</v>
      </c>
      <c r="T62" s="24">
        <f t="shared" si="34"/>
        <v>-92.131417116175271</v>
      </c>
      <c r="U62" s="24">
        <f t="shared" si="34"/>
        <v>2517.6959818887608</v>
      </c>
      <c r="V62" s="24">
        <f t="shared" si="34"/>
        <v>-122.62025497253717</v>
      </c>
      <c r="W62" s="24">
        <f t="shared" si="34"/>
        <v>-138.08270200380548</v>
      </c>
      <c r="X62" s="24">
        <f t="shared" si="34"/>
        <v>-153.69397002451024</v>
      </c>
      <c r="Y62" s="24">
        <f t="shared" si="34"/>
        <v>-169.45670692807198</v>
      </c>
      <c r="Z62" s="24">
        <f t="shared" si="34"/>
        <v>-185.37359824842133</v>
      </c>
      <c r="AA62" s="24">
        <f t="shared" si="34"/>
        <v>-201.44736773499335</v>
      </c>
      <c r="AB62" s="24">
        <f t="shared" si="34"/>
        <v>-217.68077793630073</v>
      </c>
      <c r="AC62" s="24">
        <f t="shared" si="34"/>
        <v>-234.07663079220038</v>
      </c>
      <c r="AD62" s="24">
        <f t="shared" si="34"/>
        <v>-250.63776823500484</v>
      </c>
      <c r="AE62" s="1"/>
    </row>
    <row r="63" spans="1:31" ht="16" thickTop="1">
      <c r="A63" s="3"/>
      <c r="B63" s="32"/>
      <c r="C63" s="33"/>
      <c r="D63" s="1"/>
      <c r="E63" s="1"/>
      <c r="F63" s="55"/>
      <c r="G63" s="55"/>
      <c r="H63" s="55"/>
      <c r="I63" s="55"/>
      <c r="J63" s="55"/>
      <c r="K63" s="55"/>
      <c r="L63" s="55"/>
      <c r="M63" s="55"/>
      <c r="N63" s="55"/>
      <c r="O63" s="55"/>
      <c r="P63" s="55"/>
      <c r="Q63" s="55"/>
      <c r="R63" s="55"/>
      <c r="S63" s="55"/>
      <c r="T63" s="55"/>
      <c r="U63" s="55"/>
      <c r="V63" s="55"/>
      <c r="W63" s="55"/>
      <c r="X63" s="55"/>
      <c r="Y63" s="55"/>
      <c r="Z63" s="55"/>
      <c r="AA63" s="55"/>
      <c r="AB63" s="55"/>
      <c r="AC63" s="13"/>
      <c r="AD63" s="13"/>
      <c r="AE63" s="1"/>
    </row>
    <row r="64" spans="1:31" ht="16" thickBot="1">
      <c r="A64" s="3"/>
      <c r="B64" s="43" t="s">
        <v>46</v>
      </c>
      <c r="C64" s="33"/>
      <c r="D64" s="1"/>
      <c r="E64" s="75" t="s">
        <v>67</v>
      </c>
      <c r="F64" s="76">
        <f>F2</f>
        <v>1</v>
      </c>
      <c r="G64" s="76">
        <f>G2</f>
        <v>2</v>
      </c>
      <c r="H64" s="76">
        <f t="shared" ref="H64:AD64" si="35">H2</f>
        <v>3</v>
      </c>
      <c r="I64" s="76">
        <f t="shared" si="35"/>
        <v>4</v>
      </c>
      <c r="J64" s="76">
        <f t="shared" si="35"/>
        <v>5</v>
      </c>
      <c r="K64" s="76">
        <f t="shared" si="35"/>
        <v>6</v>
      </c>
      <c r="L64" s="76">
        <f t="shared" si="35"/>
        <v>7</v>
      </c>
      <c r="M64" s="76">
        <f t="shared" si="35"/>
        <v>8</v>
      </c>
      <c r="N64" s="76">
        <f t="shared" si="35"/>
        <v>9</v>
      </c>
      <c r="O64" s="76">
        <f t="shared" si="35"/>
        <v>10</v>
      </c>
      <c r="P64" s="76">
        <f t="shared" si="35"/>
        <v>11</v>
      </c>
      <c r="Q64" s="76">
        <f t="shared" si="35"/>
        <v>12</v>
      </c>
      <c r="R64" s="76">
        <f t="shared" si="35"/>
        <v>13</v>
      </c>
      <c r="S64" s="76">
        <f t="shared" si="35"/>
        <v>14</v>
      </c>
      <c r="T64" s="76">
        <f t="shared" si="35"/>
        <v>15</v>
      </c>
      <c r="U64" s="76">
        <f t="shared" si="35"/>
        <v>16</v>
      </c>
      <c r="V64" s="76">
        <f t="shared" si="35"/>
        <v>17</v>
      </c>
      <c r="W64" s="76">
        <f t="shared" si="35"/>
        <v>18</v>
      </c>
      <c r="X64" s="76">
        <f t="shared" si="35"/>
        <v>19</v>
      </c>
      <c r="Y64" s="76">
        <f t="shared" si="35"/>
        <v>20</v>
      </c>
      <c r="Z64" s="76">
        <f t="shared" si="35"/>
        <v>21</v>
      </c>
      <c r="AA64" s="76">
        <f t="shared" si="35"/>
        <v>22</v>
      </c>
      <c r="AB64" s="76">
        <f t="shared" si="35"/>
        <v>23</v>
      </c>
      <c r="AC64" s="76">
        <f t="shared" si="35"/>
        <v>24</v>
      </c>
      <c r="AD64" s="76">
        <f t="shared" si="35"/>
        <v>25</v>
      </c>
      <c r="AE64" s="1"/>
    </row>
    <row r="65" spans="1:31">
      <c r="A65" s="3"/>
      <c r="B65" s="44" t="s">
        <v>53</v>
      </c>
      <c r="C65" s="50">
        <v>0.21</v>
      </c>
      <c r="D65" s="1"/>
      <c r="E65" s="12"/>
      <c r="F65" s="55"/>
      <c r="G65" s="55"/>
      <c r="H65" s="55"/>
      <c r="I65" s="55"/>
      <c r="J65" s="55"/>
      <c r="K65" s="55"/>
      <c r="L65" s="55"/>
      <c r="M65" s="55"/>
      <c r="N65" s="55"/>
      <c r="O65" s="55"/>
      <c r="P65" s="55"/>
      <c r="Q65" s="55"/>
      <c r="R65" s="55"/>
      <c r="S65" s="55"/>
      <c r="T65" s="55"/>
      <c r="U65" s="55"/>
      <c r="V65" s="55"/>
      <c r="W65" s="55"/>
      <c r="X65" s="55"/>
      <c r="Y65" s="55"/>
      <c r="Z65" s="55"/>
      <c r="AA65" s="55"/>
      <c r="AB65" s="55"/>
      <c r="AC65" s="13"/>
      <c r="AD65" s="13"/>
      <c r="AE65" s="1"/>
    </row>
    <row r="66" spans="1:31">
      <c r="A66" s="3"/>
      <c r="B66" s="44" t="s">
        <v>72</v>
      </c>
      <c r="C66" s="50">
        <v>0.2</v>
      </c>
      <c r="D66" s="1"/>
      <c r="E66" s="13" t="s">
        <v>7</v>
      </c>
      <c r="F66" s="22">
        <f>-C72</f>
        <v>-350</v>
      </c>
      <c r="G66" s="22">
        <v>0</v>
      </c>
      <c r="H66" s="22">
        <v>0</v>
      </c>
      <c r="I66" s="22">
        <v>0</v>
      </c>
      <c r="J66" s="22">
        <v>0</v>
      </c>
      <c r="K66" s="22">
        <v>0</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0</v>
      </c>
      <c r="AE66" s="1"/>
    </row>
    <row r="67" spans="1:31" ht="15" customHeight="1">
      <c r="A67" s="3"/>
      <c r="B67" s="44" t="s">
        <v>60</v>
      </c>
      <c r="C67" s="50">
        <v>3.6999999999999998E-2</v>
      </c>
      <c r="D67" s="1"/>
      <c r="E67" s="13" t="s">
        <v>47</v>
      </c>
      <c r="F67" s="22">
        <f t="shared" ref="F67:AD67" si="36">-$C$42</f>
        <v>0</v>
      </c>
      <c r="G67" s="22">
        <f t="shared" si="36"/>
        <v>0</v>
      </c>
      <c r="H67" s="22">
        <f t="shared" si="36"/>
        <v>0</v>
      </c>
      <c r="I67" s="22">
        <f t="shared" si="36"/>
        <v>0</v>
      </c>
      <c r="J67" s="22">
        <f t="shared" si="36"/>
        <v>0</v>
      </c>
      <c r="K67" s="22">
        <f t="shared" si="36"/>
        <v>0</v>
      </c>
      <c r="L67" s="22">
        <f t="shared" si="36"/>
        <v>0</v>
      </c>
      <c r="M67" s="22">
        <f t="shared" si="36"/>
        <v>0</v>
      </c>
      <c r="N67" s="22">
        <f t="shared" si="36"/>
        <v>0</v>
      </c>
      <c r="O67" s="22">
        <f t="shared" si="36"/>
        <v>0</v>
      </c>
      <c r="P67" s="22">
        <f t="shared" si="36"/>
        <v>0</v>
      </c>
      <c r="Q67" s="22">
        <f t="shared" si="36"/>
        <v>0</v>
      </c>
      <c r="R67" s="22">
        <f t="shared" si="36"/>
        <v>0</v>
      </c>
      <c r="S67" s="22">
        <f t="shared" si="36"/>
        <v>0</v>
      </c>
      <c r="T67" s="22">
        <f t="shared" si="36"/>
        <v>0</v>
      </c>
      <c r="U67" s="22">
        <f t="shared" si="36"/>
        <v>0</v>
      </c>
      <c r="V67" s="22">
        <f t="shared" si="36"/>
        <v>0</v>
      </c>
      <c r="W67" s="22">
        <f t="shared" si="36"/>
        <v>0</v>
      </c>
      <c r="X67" s="22">
        <f t="shared" si="36"/>
        <v>0</v>
      </c>
      <c r="Y67" s="22">
        <f t="shared" si="36"/>
        <v>0</v>
      </c>
      <c r="Z67" s="22">
        <f t="shared" si="36"/>
        <v>0</v>
      </c>
      <c r="AA67" s="22">
        <f t="shared" si="36"/>
        <v>0</v>
      </c>
      <c r="AB67" s="22">
        <f t="shared" si="36"/>
        <v>0</v>
      </c>
      <c r="AC67" s="22">
        <f t="shared" si="36"/>
        <v>0</v>
      </c>
      <c r="AD67" s="22">
        <f t="shared" si="36"/>
        <v>0</v>
      </c>
      <c r="AE67" s="1"/>
    </row>
    <row r="68" spans="1:31" ht="15" customHeight="1">
      <c r="A68" s="3"/>
      <c r="B68" s="44" t="s">
        <v>86</v>
      </c>
      <c r="C68" s="50">
        <v>0</v>
      </c>
      <c r="D68" s="1"/>
      <c r="E68" s="13" t="s">
        <v>68</v>
      </c>
      <c r="F68" s="22">
        <f t="shared" ref="F68:AD68" si="37">F62/$C$24</f>
        <v>9.7371319047367439</v>
      </c>
      <c r="G68" s="22">
        <f t="shared" si="37"/>
        <v>0.46574843750000128</v>
      </c>
      <c r="H68" s="22">
        <f t="shared" si="37"/>
        <v>0.39812869531250045</v>
      </c>
      <c r="I68" s="22">
        <f t="shared" si="37"/>
        <v>0.32994268683593875</v>
      </c>
      <c r="J68" s="22">
        <f t="shared" si="37"/>
        <v>0.26117967792675928</v>
      </c>
      <c r="K68" s="22">
        <f t="shared" si="37"/>
        <v>0.19182878463000408</v>
      </c>
      <c r="L68" s="22">
        <f t="shared" si="37"/>
        <v>0.121878970876121</v>
      </c>
      <c r="M68" s="22">
        <f t="shared" si="37"/>
        <v>5.1319046143544253E-2</v>
      </c>
      <c r="N68" s="22">
        <f t="shared" si="37"/>
        <v>-1.9862336913536182E-2</v>
      </c>
      <c r="O68" s="22">
        <f t="shared" si="37"/>
        <v>-9.1676684872729772E-2</v>
      </c>
      <c r="P68" s="22">
        <f t="shared" si="37"/>
        <v>-0.16413566598678245</v>
      </c>
      <c r="Q68" s="22">
        <f t="shared" si="37"/>
        <v>-0.23725111266334126</v>
      </c>
      <c r="R68" s="22">
        <f t="shared" si="37"/>
        <v>-0.31103502398161709</v>
      </c>
      <c r="S68" s="22">
        <f t="shared" si="37"/>
        <v>-0.38549956824652554</v>
      </c>
      <c r="T68" s="22">
        <f t="shared" si="37"/>
        <v>-0.46065708558087637</v>
      </c>
      <c r="U68" s="22">
        <f t="shared" si="37"/>
        <v>12.588479909443803</v>
      </c>
      <c r="V68" s="22">
        <f t="shared" si="37"/>
        <v>-0.61310127486268584</v>
      </c>
      <c r="W68" s="22">
        <f t="shared" si="37"/>
        <v>-0.6904135100190274</v>
      </c>
      <c r="X68" s="22">
        <f t="shared" si="37"/>
        <v>-0.7684698501225512</v>
      </c>
      <c r="Y68" s="22">
        <f t="shared" si="37"/>
        <v>-0.84728353464035988</v>
      </c>
      <c r="Z68" s="22">
        <f t="shared" si="37"/>
        <v>-0.92686799124210661</v>
      </c>
      <c r="AA68" s="22">
        <f t="shared" si="37"/>
        <v>-1.0072368386749668</v>
      </c>
      <c r="AB68" s="22">
        <f t="shared" si="37"/>
        <v>-1.0884038896815036</v>
      </c>
      <c r="AC68" s="22">
        <f t="shared" si="37"/>
        <v>-1.1703831539610019</v>
      </c>
      <c r="AD68" s="22">
        <f t="shared" si="37"/>
        <v>-1.2531888411750243</v>
      </c>
      <c r="AE68" s="1"/>
    </row>
    <row r="69" spans="1:31">
      <c r="A69" s="3"/>
      <c r="B69" s="44" t="s">
        <v>89</v>
      </c>
      <c r="C69" s="50">
        <v>0</v>
      </c>
      <c r="D69" s="1"/>
      <c r="E69" s="13" t="s">
        <v>69</v>
      </c>
      <c r="F69" s="22">
        <f>F4/$C$24*(($C$73*((1+$C$69)^(G2-1)))*(1+$C$65))</f>
        <v>20.418749999999999</v>
      </c>
      <c r="G69" s="22">
        <f t="shared" ref="G69:AD69" si="38">G4/$C$24*(($C$73*((1+$C$69)^(H2-1)))*(1+$C$65))</f>
        <v>20.316656249999998</v>
      </c>
      <c r="H69" s="22">
        <f t="shared" si="38"/>
        <v>20.21507296875</v>
      </c>
      <c r="I69" s="22">
        <f t="shared" si="38"/>
        <v>20.113997603906249</v>
      </c>
      <c r="J69" s="22">
        <f t="shared" si="38"/>
        <v>20.013427615886719</v>
      </c>
      <c r="K69" s="22">
        <f t="shared" si="38"/>
        <v>19.913360477807284</v>
      </c>
      <c r="L69" s="22">
        <f t="shared" si="38"/>
        <v>19.81379367541825</v>
      </c>
      <c r="M69" s="22">
        <f t="shared" si="38"/>
        <v>19.714724707041157</v>
      </c>
      <c r="N69" s="22">
        <f t="shared" si="38"/>
        <v>19.616151083505954</v>
      </c>
      <c r="O69" s="22">
        <f t="shared" si="38"/>
        <v>19.518070328088424</v>
      </c>
      <c r="P69" s="22">
        <f t="shared" si="38"/>
        <v>19.420479976447982</v>
      </c>
      <c r="Q69" s="22">
        <f t="shared" si="38"/>
        <v>19.323377576565743</v>
      </c>
      <c r="R69" s="22">
        <f t="shared" si="38"/>
        <v>19.226760688682912</v>
      </c>
      <c r="S69" s="22">
        <f t="shared" si="38"/>
        <v>19.130626885239497</v>
      </c>
      <c r="T69" s="22">
        <f t="shared" si="38"/>
        <v>19.0349737508133</v>
      </c>
      <c r="U69" s="22">
        <f t="shared" si="38"/>
        <v>18.939798882059232</v>
      </c>
      <c r="V69" s="22">
        <f t="shared" si="38"/>
        <v>18.845099887648939</v>
      </c>
      <c r="W69" s="22">
        <f t="shared" si="38"/>
        <v>18.750874388210693</v>
      </c>
      <c r="X69" s="22">
        <f t="shared" si="38"/>
        <v>18.657120016269641</v>
      </c>
      <c r="Y69" s="22">
        <f t="shared" si="38"/>
        <v>18.563834416188289</v>
      </c>
      <c r="Z69" s="22">
        <f t="shared" si="38"/>
        <v>18.471015244107349</v>
      </c>
      <c r="AA69" s="22">
        <f t="shared" si="38"/>
        <v>18.378660167886814</v>
      </c>
      <c r="AB69" s="22">
        <f t="shared" si="38"/>
        <v>18.286766867047376</v>
      </c>
      <c r="AC69" s="22">
        <f t="shared" si="38"/>
        <v>18.195333032712142</v>
      </c>
      <c r="AD69" s="22">
        <f t="shared" si="38"/>
        <v>18.104356367548583</v>
      </c>
      <c r="AE69" s="1"/>
    </row>
    <row r="70" spans="1:31">
      <c r="A70" s="3"/>
      <c r="B70" s="44" t="s">
        <v>84</v>
      </c>
      <c r="C70" s="50">
        <v>1.4999999999999999E-2</v>
      </c>
      <c r="D70" s="1"/>
      <c r="E70" s="71" t="s">
        <v>48</v>
      </c>
      <c r="F70" s="67">
        <f t="shared" ref="F70:AD70" si="39">F69+F68+F67+F66</f>
        <v>-319.84411809526324</v>
      </c>
      <c r="G70" s="67">
        <f t="shared" si="39"/>
        <v>20.782404687499998</v>
      </c>
      <c r="H70" s="67">
        <f t="shared" si="39"/>
        <v>20.613201664062501</v>
      </c>
      <c r="I70" s="67">
        <f t="shared" si="39"/>
        <v>20.443940290742187</v>
      </c>
      <c r="J70" s="67">
        <f t="shared" si="39"/>
        <v>20.274607293813478</v>
      </c>
      <c r="K70" s="67">
        <f t="shared" si="39"/>
        <v>20.105189262437289</v>
      </c>
      <c r="L70" s="67">
        <f t="shared" si="39"/>
        <v>19.935672646294371</v>
      </c>
      <c r="M70" s="67">
        <f t="shared" si="39"/>
        <v>19.7660437531847</v>
      </c>
      <c r="N70" s="67">
        <f t="shared" si="39"/>
        <v>19.596288746592418</v>
      </c>
      <c r="O70" s="67">
        <f t="shared" si="39"/>
        <v>19.426393643215693</v>
      </c>
      <c r="P70" s="67">
        <f t="shared" si="39"/>
        <v>19.256344310461198</v>
      </c>
      <c r="Q70" s="67">
        <f t="shared" si="39"/>
        <v>19.086126463902403</v>
      </c>
      <c r="R70" s="67">
        <f t="shared" si="39"/>
        <v>18.915725664701295</v>
      </c>
      <c r="S70" s="67">
        <f t="shared" si="39"/>
        <v>18.745127316992971</v>
      </c>
      <c r="T70" s="67">
        <f t="shared" si="39"/>
        <v>18.574316665232423</v>
      </c>
      <c r="U70" s="67">
        <f t="shared" si="39"/>
        <v>31.528278791503034</v>
      </c>
      <c r="V70" s="67">
        <f t="shared" si="39"/>
        <v>18.231998612786253</v>
      </c>
      <c r="W70" s="67">
        <f t="shared" si="39"/>
        <v>18.060460878191666</v>
      </c>
      <c r="X70" s="67">
        <f t="shared" si="39"/>
        <v>17.888650166147091</v>
      </c>
      <c r="Y70" s="67">
        <f t="shared" si="39"/>
        <v>17.716550881547928</v>
      </c>
      <c r="Z70" s="67">
        <f t="shared" si="39"/>
        <v>17.544147252865244</v>
      </c>
      <c r="AA70" s="67">
        <f t="shared" si="39"/>
        <v>17.371423329211847</v>
      </c>
      <c r="AB70" s="67">
        <f t="shared" si="39"/>
        <v>17.198362977365871</v>
      </c>
      <c r="AC70" s="67">
        <f t="shared" si="39"/>
        <v>17.024949878751141</v>
      </c>
      <c r="AD70" s="67">
        <f t="shared" si="39"/>
        <v>16.851167526373558</v>
      </c>
      <c r="AE70" s="1"/>
    </row>
    <row r="71" spans="1:31">
      <c r="A71" s="3"/>
      <c r="B71" s="44" t="s">
        <v>85</v>
      </c>
      <c r="C71" s="50">
        <v>1.4999999999999999E-2</v>
      </c>
      <c r="D71" s="1"/>
      <c r="E71" s="72" t="s">
        <v>70</v>
      </c>
      <c r="F71" s="22">
        <f>F70</f>
        <v>-319.84411809526324</v>
      </c>
      <c r="G71" s="22">
        <f>F71+G70</f>
        <v>-299.06171340776325</v>
      </c>
      <c r="H71" s="22">
        <f t="shared" ref="H71:AD71" si="40">G71+H70</f>
        <v>-278.44851174370075</v>
      </c>
      <c r="I71" s="22">
        <f t="shared" si="40"/>
        <v>-258.00457145295854</v>
      </c>
      <c r="J71" s="22">
        <f t="shared" si="40"/>
        <v>-237.72996415914506</v>
      </c>
      <c r="K71" s="22">
        <f t="shared" si="40"/>
        <v>-217.62477489670778</v>
      </c>
      <c r="L71" s="22">
        <f t="shared" si="40"/>
        <v>-197.68910225041341</v>
      </c>
      <c r="M71" s="22">
        <f t="shared" si="40"/>
        <v>-177.92305849722871</v>
      </c>
      <c r="N71" s="22">
        <f t="shared" si="40"/>
        <v>-158.32676975063629</v>
      </c>
      <c r="O71" s="22">
        <f t="shared" si="40"/>
        <v>-138.90037610742058</v>
      </c>
      <c r="P71" s="22">
        <f t="shared" si="40"/>
        <v>-119.64403179695938</v>
      </c>
      <c r="Q71" s="22">
        <f t="shared" si="40"/>
        <v>-100.55790533305698</v>
      </c>
      <c r="R71" s="22">
        <f t="shared" si="40"/>
        <v>-81.642179668355681</v>
      </c>
      <c r="S71" s="22">
        <f t="shared" si="40"/>
        <v>-62.89705235136271</v>
      </c>
      <c r="T71" s="22">
        <f t="shared" si="40"/>
        <v>-44.322735686130287</v>
      </c>
      <c r="U71" s="22">
        <f t="shared" si="40"/>
        <v>-12.794456894627253</v>
      </c>
      <c r="V71" s="22">
        <f t="shared" si="40"/>
        <v>5.4375417181590002</v>
      </c>
      <c r="W71" s="22">
        <f t="shared" si="40"/>
        <v>23.498002596350666</v>
      </c>
      <c r="X71" s="22">
        <f t="shared" si="40"/>
        <v>41.386652762497761</v>
      </c>
      <c r="Y71" s="22">
        <f t="shared" si="40"/>
        <v>59.103203644045692</v>
      </c>
      <c r="Z71" s="22">
        <f t="shared" si="40"/>
        <v>76.647350896910936</v>
      </c>
      <c r="AA71" s="22">
        <f t="shared" si="40"/>
        <v>94.018774226122787</v>
      </c>
      <c r="AB71" s="22">
        <f t="shared" si="40"/>
        <v>111.21713720348866</v>
      </c>
      <c r="AC71" s="22">
        <f t="shared" si="40"/>
        <v>128.24208708223981</v>
      </c>
      <c r="AD71" s="22">
        <f t="shared" si="40"/>
        <v>145.09325460861336</v>
      </c>
      <c r="AE71" s="1"/>
    </row>
    <row r="72" spans="1:31">
      <c r="A72" s="3"/>
      <c r="B72" s="77" t="s">
        <v>83</v>
      </c>
      <c r="C72" s="40">
        <v>350</v>
      </c>
      <c r="D72" s="1"/>
      <c r="E72" s="61"/>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1"/>
    </row>
    <row r="73" spans="1:31">
      <c r="A73" s="3"/>
      <c r="B73" s="44" t="s">
        <v>73</v>
      </c>
      <c r="C73" s="45">
        <v>7.4999999999999997E-2</v>
      </c>
      <c r="D73" s="1"/>
      <c r="E73" s="73" t="s">
        <v>71</v>
      </c>
      <c r="F73" s="66">
        <f>LOOKUP(0,F71:AD71,F2:AD2)+1</f>
        <v>17</v>
      </c>
      <c r="G73" s="22"/>
      <c r="H73" s="22"/>
      <c r="I73" s="22"/>
      <c r="J73" s="22"/>
      <c r="K73" s="22"/>
      <c r="L73" s="22"/>
      <c r="M73" s="22"/>
      <c r="N73" s="22"/>
      <c r="O73" s="22"/>
      <c r="P73" s="22"/>
      <c r="Q73" s="22"/>
      <c r="R73" s="22"/>
      <c r="S73" s="22"/>
      <c r="T73" s="22"/>
      <c r="U73" s="22"/>
      <c r="V73" s="22"/>
      <c r="W73" s="22"/>
      <c r="X73" s="22"/>
      <c r="Y73" s="22"/>
      <c r="Z73" s="22"/>
      <c r="AA73" s="22"/>
      <c r="AB73" s="22"/>
      <c r="AC73" s="22"/>
      <c r="AD73" s="22"/>
      <c r="AE73" s="1"/>
    </row>
    <row r="74" spans="1:31" hidden="1">
      <c r="A74" s="3"/>
      <c r="B74" s="52"/>
      <c r="C74" s="53"/>
      <c r="D74" s="1"/>
      <c r="E74" s="15">
        <f>-C72</f>
        <v>-350</v>
      </c>
      <c r="F74" s="22">
        <f t="shared" ref="F74:AD74" si="41">SUM(F67:F69)</f>
        <v>30.155881904736745</v>
      </c>
      <c r="G74" s="22">
        <f t="shared" si="41"/>
        <v>20.782404687499998</v>
      </c>
      <c r="H74" s="22">
        <f t="shared" si="41"/>
        <v>20.613201664062501</v>
      </c>
      <c r="I74" s="22">
        <f t="shared" si="41"/>
        <v>20.443940290742187</v>
      </c>
      <c r="J74" s="22">
        <f t="shared" si="41"/>
        <v>20.274607293813478</v>
      </c>
      <c r="K74" s="22">
        <f t="shared" si="41"/>
        <v>20.105189262437289</v>
      </c>
      <c r="L74" s="22">
        <f t="shared" si="41"/>
        <v>19.935672646294371</v>
      </c>
      <c r="M74" s="22">
        <f t="shared" si="41"/>
        <v>19.7660437531847</v>
      </c>
      <c r="N74" s="22">
        <f t="shared" si="41"/>
        <v>19.596288746592418</v>
      </c>
      <c r="O74" s="22">
        <f t="shared" si="41"/>
        <v>19.426393643215693</v>
      </c>
      <c r="P74" s="22">
        <f t="shared" si="41"/>
        <v>19.256344310461198</v>
      </c>
      <c r="Q74" s="22">
        <f t="shared" si="41"/>
        <v>19.086126463902403</v>
      </c>
      <c r="R74" s="22">
        <f t="shared" si="41"/>
        <v>18.915725664701295</v>
      </c>
      <c r="S74" s="22">
        <f t="shared" si="41"/>
        <v>18.745127316992971</v>
      </c>
      <c r="T74" s="22">
        <f t="shared" si="41"/>
        <v>18.574316665232423</v>
      </c>
      <c r="U74" s="22">
        <f t="shared" si="41"/>
        <v>31.528278791503034</v>
      </c>
      <c r="V74" s="22">
        <f t="shared" si="41"/>
        <v>18.231998612786253</v>
      </c>
      <c r="W74" s="22">
        <f t="shared" si="41"/>
        <v>18.060460878191666</v>
      </c>
      <c r="X74" s="22">
        <f t="shared" si="41"/>
        <v>17.888650166147091</v>
      </c>
      <c r="Y74" s="22">
        <f t="shared" si="41"/>
        <v>17.716550881547928</v>
      </c>
      <c r="Z74" s="22">
        <f t="shared" si="41"/>
        <v>17.544147252865244</v>
      </c>
      <c r="AA74" s="22">
        <f t="shared" si="41"/>
        <v>17.371423329211847</v>
      </c>
      <c r="AB74" s="22">
        <f t="shared" si="41"/>
        <v>17.198362977365871</v>
      </c>
      <c r="AC74" s="22">
        <f t="shared" si="41"/>
        <v>17.024949878751141</v>
      </c>
      <c r="AD74" s="22">
        <f t="shared" si="41"/>
        <v>16.851167526373558</v>
      </c>
      <c r="AE74" s="1"/>
    </row>
    <row r="75" spans="1:31" ht="15" customHeight="1">
      <c r="A75" s="3"/>
      <c r="B75" s="52"/>
      <c r="C75" s="53"/>
      <c r="D75" s="1"/>
      <c r="E75" s="73" t="s">
        <v>75</v>
      </c>
      <c r="F75" s="78">
        <f>IRR(E74:AD74)</f>
        <v>3.0252411431022308E-2</v>
      </c>
      <c r="G75" s="22"/>
      <c r="H75" s="22"/>
      <c r="I75" s="22"/>
      <c r="J75" s="22"/>
      <c r="K75" s="22"/>
      <c r="L75" s="22"/>
      <c r="M75" s="22"/>
      <c r="N75" s="22"/>
      <c r="O75" s="22"/>
      <c r="P75" s="22"/>
      <c r="Q75" s="22"/>
      <c r="R75" s="22"/>
      <c r="S75" s="22"/>
      <c r="T75" s="22"/>
      <c r="U75" s="22"/>
      <c r="V75" s="22"/>
      <c r="W75" s="22"/>
      <c r="X75" s="22"/>
      <c r="Y75" s="22"/>
      <c r="Z75" s="22"/>
      <c r="AA75" s="22"/>
      <c r="AB75" s="22"/>
      <c r="AC75" s="22"/>
      <c r="AD75" s="22"/>
      <c r="AE75" s="1"/>
    </row>
    <row r="76" spans="1:31">
      <c r="A76" s="3"/>
      <c r="B76" s="1"/>
      <c r="C76" s="1"/>
      <c r="D76" s="1"/>
      <c r="E76" s="1"/>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1"/>
    </row>
    <row r="77" spans="1:31" hidden="1">
      <c r="A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row>
    <row r="78" spans="1:31" hidden="1">
      <c r="A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row>
    <row r="79" spans="1:31" hidden="1">
      <c r="A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row>
    <row r="80" spans="1:31" hidden="1">
      <c r="A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row>
    <row r="81" hidden="1"/>
  </sheetData>
  <mergeCells count="1">
    <mergeCell ref="B11:C1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Zonnepanelendelen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Pluut</dc:creator>
  <cp:lastModifiedBy>Sven Pluut</cp:lastModifiedBy>
  <dcterms:created xsi:type="dcterms:W3CDTF">2013-12-23T16:51:37Z</dcterms:created>
  <dcterms:modified xsi:type="dcterms:W3CDTF">2014-02-06T09:22:07Z</dcterms:modified>
</cp:coreProperties>
</file>